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425" windowWidth="19440" windowHeight="5655"/>
  </bookViews>
  <sheets>
    <sheet name="Наименование МО" sheetId="1" r:id="rId1"/>
    <sheet name="Лист1" sheetId="2" r:id="rId2"/>
  </sheets>
  <definedNames>
    <definedName name="_xlnm._FilterDatabase" localSheetId="0" hidden="1">'Наименование МО'!$A$6:$Z$450</definedName>
    <definedName name="Print_Area_0_0" localSheetId="0">'Наименование МО'!$D$1:$O$2</definedName>
    <definedName name="Print_Area_0_0_0" localSheetId="0">'Наименование МО'!$D$1:$O$2</definedName>
    <definedName name="Print_Area_0_0_0_0" localSheetId="0">'Наименование МО'!$D$1:$O$2</definedName>
    <definedName name="Print_Area_0_0_0_0_0" localSheetId="0">'Наименование МО'!$D$1:$O$2</definedName>
    <definedName name="Print_Area_0_0_0_0_0_0" localSheetId="0">'Наименование МО'!$D$1:$O$2</definedName>
    <definedName name="Print_Area_0_0_0_0_0_0_0" localSheetId="0">'Наименование МО'!$D$1:$O$2</definedName>
    <definedName name="Print_Area_0_0_0_0_0_0_0_0" localSheetId="0">'Наименование МО'!$D$1:$O$2</definedName>
    <definedName name="Print_Area_0_0_0_0_0_0_0_0_0" localSheetId="0">'Наименование МО'!$D$1:$O$2</definedName>
    <definedName name="Print_Area_0_0_0_0_0_0_0_0_0_0" localSheetId="0">'Наименование МО'!$D$1:$O$2</definedName>
    <definedName name="Print_Area_0_0_0_0_0_0_0_0_0_0_0" localSheetId="0">'Наименование МО'!$D$1:$O$2</definedName>
    <definedName name="Print_Area_0_0_0_0_0_0_0_0_0_0_0_0" localSheetId="0">'Наименование МО'!$D$1:$O$2</definedName>
    <definedName name="Print_Area_0_0_0_0_0_0_0_0_0_0_0_0_0" localSheetId="0">'Наименование МО'!$D$1:$O$2</definedName>
    <definedName name="Print_Area_0_0_0_0_0_0_0_0_0_0_0_0_0_0" localSheetId="0">'Наименование МО'!$D$1:$O$2</definedName>
    <definedName name="Print_Area_0_0_0_0_0_0_0_0_0_0_0_0_0_0_0" localSheetId="0">'Наименование МО'!$D$1:$O$2</definedName>
    <definedName name="Print_Area_0_0_0_0_0_0_0_0_0_0_0_0_0_0_0_0" localSheetId="0">'Наименование МО'!$D$1:$O$2</definedName>
    <definedName name="Print_Area_0_0_0_0_0_0_0_0_0_0_0_0_0_0_0_0_0" localSheetId="0">'Наименование МО'!$D$1:$O$2</definedName>
    <definedName name="Print_Area_0_0_0_0_0_0_0_0_0_0_0_0_0_0_0_0_0_0" localSheetId="0">'Наименование МО'!$D$1:$O$2</definedName>
    <definedName name="Print_Titles_0_0" localSheetId="0">'Наименование МО'!#REF!</definedName>
    <definedName name="Print_Titles_0_0_0" localSheetId="0">'Наименование МО'!#REF!</definedName>
    <definedName name="Print_Titles_0_0_0_0" localSheetId="0">'Наименование МО'!#REF!</definedName>
    <definedName name="Print_Titles_0_0_0_0_0" localSheetId="0">'Наименование МО'!#REF!</definedName>
    <definedName name="Print_Titles_0_0_0_0_0_0" localSheetId="0">'Наименование МО'!#REF!</definedName>
    <definedName name="Print_Titles_0_0_0_0_0_0_0" localSheetId="0">'Наименование МО'!#REF!</definedName>
    <definedName name="Print_Titles_0_0_0_0_0_0_0_0" localSheetId="0">'Наименование МО'!#REF!</definedName>
    <definedName name="Print_Titles_0_0_0_0_0_0_0_0_0" localSheetId="0">'Наименование МО'!#REF!</definedName>
    <definedName name="Print_Titles_0_0_0_0_0_0_0_0_0_0" localSheetId="0">'Наименование МО'!#REF!</definedName>
    <definedName name="Print_Titles_0_0_0_0_0_0_0_0_0_0_0" localSheetId="0">'Наименование МО'!#REF!</definedName>
    <definedName name="Print_Titles_0_0_0_0_0_0_0_0_0_0_0_0" localSheetId="0">'Наименование МО'!#REF!</definedName>
    <definedName name="_xlnm.Print_Titles" localSheetId="0">'Наименование МО'!$3:$6</definedName>
    <definedName name="_xlnm.Print_Area" localSheetId="0">'Наименование МО'!$A$1:$AL$450</definedName>
  </definedNames>
  <calcPr calcId="145621"/>
</workbook>
</file>

<file path=xl/calcChain.xml><?xml version="1.0" encoding="utf-8"?>
<calcChain xmlns="http://schemas.openxmlformats.org/spreadsheetml/2006/main">
  <c r="S282" i="1" l="1"/>
  <c r="S43" i="1"/>
  <c r="S281" i="1" l="1"/>
  <c r="S280" i="1" l="1"/>
  <c r="S279" i="1" l="1"/>
  <c r="Y447" i="1" l="1"/>
  <c r="Y448" i="1"/>
  <c r="Y446" i="1"/>
  <c r="S278" i="1" l="1"/>
  <c r="N423" i="1" l="1"/>
  <c r="Y423" i="1" s="1"/>
  <c r="N424" i="1"/>
  <c r="Y424" i="1" s="1"/>
  <c r="N425" i="1"/>
  <c r="Y425" i="1" s="1"/>
  <c r="N426" i="1"/>
  <c r="Y426" i="1" s="1"/>
  <c r="N427" i="1"/>
  <c r="Y427" i="1" s="1"/>
  <c r="N428" i="1"/>
  <c r="Y428" i="1" s="1"/>
  <c r="N429" i="1"/>
  <c r="Y429" i="1" s="1"/>
  <c r="N430" i="1"/>
  <c r="Y430" i="1" s="1"/>
  <c r="N431" i="1"/>
  <c r="Y431" i="1" s="1"/>
  <c r="N422" i="1"/>
  <c r="Y422" i="1" s="1"/>
  <c r="V437" i="1"/>
  <c r="X437" i="1" s="1"/>
  <c r="AA437" i="1" s="1"/>
  <c r="V436" i="1"/>
  <c r="X436" i="1" s="1"/>
  <c r="AA436" i="1" s="1"/>
  <c r="X433" i="1"/>
  <c r="AA433" i="1" s="1"/>
  <c r="X434" i="1"/>
  <c r="AA434" i="1" s="1"/>
  <c r="X435" i="1"/>
  <c r="AA435" i="1" s="1"/>
  <c r="X432" i="1"/>
  <c r="AA432" i="1" s="1"/>
  <c r="X444" i="1" l="1"/>
  <c r="X443" i="1"/>
  <c r="X442" i="1"/>
  <c r="X441" i="1" l="1"/>
  <c r="X440" i="1"/>
  <c r="X439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21" i="1" l="1"/>
  <c r="J277" i="1" l="1"/>
  <c r="H277" i="1"/>
  <c r="S277" i="1"/>
  <c r="S418" i="1" l="1"/>
  <c r="S419" i="1"/>
  <c r="S420" i="1"/>
  <c r="S380" i="1" l="1"/>
  <c r="J380" i="1"/>
  <c r="H380" i="1"/>
  <c r="I380" i="1" s="1"/>
  <c r="J276" i="1" l="1"/>
  <c r="H276" i="1"/>
  <c r="S276" i="1"/>
  <c r="S417" i="1" l="1"/>
  <c r="J275" i="1" l="1"/>
  <c r="H275" i="1"/>
  <c r="S275" i="1"/>
  <c r="V104" i="1" l="1"/>
  <c r="V416" i="1"/>
  <c r="S415" i="1"/>
  <c r="S416" i="1"/>
  <c r="J143" i="1" l="1"/>
  <c r="H143" i="1"/>
  <c r="S143" i="1"/>
  <c r="S274" i="1" l="1"/>
  <c r="S414" i="1" l="1"/>
  <c r="S411" i="1"/>
  <c r="S412" i="1"/>
  <c r="S413" i="1"/>
  <c r="S409" i="1"/>
  <c r="S410" i="1"/>
  <c r="S407" i="1"/>
  <c r="S408" i="1"/>
  <c r="S399" i="1"/>
  <c r="S273" i="1" l="1"/>
  <c r="S406" i="1" l="1"/>
  <c r="S405" i="1"/>
  <c r="S400" i="1"/>
  <c r="S401" i="1"/>
  <c r="S402" i="1"/>
  <c r="S403" i="1"/>
  <c r="S404" i="1"/>
  <c r="S396" i="1"/>
  <c r="S397" i="1"/>
  <c r="S272" i="1" l="1"/>
  <c r="S271" i="1" l="1"/>
  <c r="S270" i="1" l="1"/>
  <c r="S395" i="1" l="1"/>
  <c r="V394" i="1" l="1"/>
  <c r="J394" i="1"/>
  <c r="H394" i="1"/>
  <c r="I394" i="1" s="1"/>
  <c r="S393" i="1" l="1"/>
  <c r="S394" i="1"/>
  <c r="S269" i="1" l="1"/>
  <c r="S268" i="1" l="1"/>
  <c r="S392" i="1" l="1"/>
  <c r="S391" i="1"/>
  <c r="S267" i="1" l="1"/>
  <c r="S266" i="1" l="1"/>
  <c r="X387" i="1"/>
  <c r="X388" i="1"/>
  <c r="D60" i="2"/>
  <c r="C60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32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4" i="2"/>
  <c r="X47" i="1"/>
  <c r="S386" i="1"/>
  <c r="S387" i="1"/>
  <c r="S388" i="1"/>
  <c r="S389" i="1"/>
  <c r="S390" i="1"/>
  <c r="S265" i="1" l="1"/>
  <c r="S264" i="1" l="1"/>
  <c r="I14" i="1" l="1"/>
  <c r="I88" i="1"/>
  <c r="H8" i="1"/>
  <c r="I8" i="1" s="1"/>
  <c r="I10" i="1"/>
  <c r="I15" i="1"/>
  <c r="S263" i="1" l="1"/>
  <c r="S142" i="1" l="1"/>
  <c r="J142" i="1"/>
  <c r="H142" i="1"/>
  <c r="S141" i="1"/>
  <c r="J141" i="1"/>
  <c r="H141" i="1"/>
  <c r="J262" i="1" l="1"/>
  <c r="H262" i="1"/>
  <c r="I262" i="1" s="1"/>
  <c r="S262" i="1"/>
  <c r="H261" i="1" l="1"/>
  <c r="I261" i="1" s="1"/>
  <c r="S261" i="1"/>
  <c r="J320" i="1" l="1"/>
  <c r="H320" i="1"/>
  <c r="I320" i="1" s="1"/>
  <c r="H260" i="1" l="1"/>
  <c r="I260" i="1" s="1"/>
  <c r="J260" i="1"/>
  <c r="J259" i="1" l="1"/>
  <c r="H259" i="1"/>
  <c r="I259" i="1" s="1"/>
  <c r="S259" i="1"/>
  <c r="S260" i="1"/>
  <c r="J258" i="1" l="1"/>
  <c r="H258" i="1"/>
  <c r="S258" i="1"/>
  <c r="J381" i="1" l="1"/>
  <c r="H381" i="1"/>
  <c r="S381" i="1"/>
  <c r="J257" i="1" l="1"/>
  <c r="H257" i="1"/>
  <c r="S257" i="1"/>
  <c r="J256" i="1" l="1"/>
  <c r="H256" i="1"/>
  <c r="S256" i="1"/>
  <c r="J376" i="1" l="1"/>
  <c r="H376" i="1"/>
  <c r="I376" i="1" s="1"/>
  <c r="J255" i="1" l="1"/>
  <c r="H255" i="1"/>
  <c r="S255" i="1" l="1"/>
  <c r="H144" i="1" l="1"/>
  <c r="I144" i="1" s="1"/>
  <c r="J144" i="1"/>
  <c r="S144" i="1"/>
  <c r="J377" i="1" l="1"/>
  <c r="AG379" i="1" l="1"/>
  <c r="AH379" i="1" s="1"/>
  <c r="AI379" i="1" s="1"/>
  <c r="AK379" i="1" s="1"/>
  <c r="S379" i="1"/>
  <c r="J379" i="1"/>
  <c r="H379" i="1"/>
  <c r="I379" i="1" s="1"/>
  <c r="S371" i="1" l="1"/>
  <c r="J371" i="1"/>
  <c r="H371" i="1"/>
  <c r="I371" i="1" s="1"/>
  <c r="AG370" i="1"/>
  <c r="AH370" i="1" s="1"/>
  <c r="AI370" i="1" s="1"/>
  <c r="AK370" i="1" s="1"/>
  <c r="S372" i="1"/>
  <c r="J372" i="1"/>
  <c r="H372" i="1"/>
  <c r="I372" i="1" s="1"/>
  <c r="S378" i="1"/>
  <c r="J378" i="1"/>
  <c r="H378" i="1"/>
  <c r="I378" i="1" s="1"/>
  <c r="S377" i="1"/>
  <c r="H377" i="1"/>
  <c r="I377" i="1" s="1"/>
  <c r="AG376" i="1"/>
  <c r="AH376" i="1" s="1"/>
  <c r="AI376" i="1" s="1"/>
  <c r="AK376" i="1" s="1"/>
  <c r="S376" i="1"/>
  <c r="AG375" i="1"/>
  <c r="AH375" i="1" s="1"/>
  <c r="AI375" i="1" s="1"/>
  <c r="AK375" i="1" s="1"/>
  <c r="S375" i="1"/>
  <c r="J375" i="1"/>
  <c r="H375" i="1"/>
  <c r="I375" i="1" s="1"/>
  <c r="AG357" i="1"/>
  <c r="AH357" i="1" s="1"/>
  <c r="AI357" i="1" s="1"/>
  <c r="AK357" i="1" s="1"/>
  <c r="S357" i="1"/>
  <c r="J357" i="1"/>
  <c r="H357" i="1"/>
  <c r="I357" i="1" s="1"/>
  <c r="AG356" i="1"/>
  <c r="AH356" i="1" s="1"/>
  <c r="AI356" i="1" s="1"/>
  <c r="AK356" i="1" s="1"/>
  <c r="S339" i="1"/>
  <c r="J339" i="1"/>
  <c r="H339" i="1"/>
  <c r="I339" i="1" s="1"/>
  <c r="AG335" i="1"/>
  <c r="AH335" i="1" s="1"/>
  <c r="AI335" i="1" s="1"/>
  <c r="AK335" i="1" s="1"/>
  <c r="S335" i="1"/>
  <c r="J335" i="1"/>
  <c r="H335" i="1"/>
  <c r="I335" i="1" s="1"/>
  <c r="AG327" i="1"/>
  <c r="AH327" i="1" s="1"/>
  <c r="AI327" i="1" s="1"/>
  <c r="AK327" i="1" s="1"/>
  <c r="S327" i="1"/>
  <c r="J327" i="1"/>
  <c r="H327" i="1"/>
  <c r="I327" i="1" s="1"/>
  <c r="AG320" i="1"/>
  <c r="AH320" i="1" s="1"/>
  <c r="AI320" i="1" s="1"/>
  <c r="AK320" i="1" s="1"/>
  <c r="S320" i="1"/>
  <c r="AG311" i="1"/>
  <c r="AH311" i="1" s="1"/>
  <c r="AI311" i="1" s="1"/>
  <c r="AK311" i="1" s="1"/>
  <c r="S311" i="1"/>
  <c r="J311" i="1"/>
  <c r="H311" i="1"/>
  <c r="I311" i="1" s="1"/>
  <c r="AG298" i="1"/>
  <c r="AH298" i="1" s="1"/>
  <c r="AI298" i="1" s="1"/>
  <c r="AK298" i="1" s="1"/>
  <c r="S298" i="1"/>
  <c r="J298" i="1"/>
  <c r="H298" i="1"/>
  <c r="I298" i="1" s="1"/>
  <c r="AG295" i="1"/>
  <c r="AH295" i="1" s="1"/>
  <c r="AI295" i="1" s="1"/>
  <c r="AK295" i="1" s="1"/>
  <c r="S295" i="1"/>
  <c r="J295" i="1"/>
  <c r="H295" i="1"/>
  <c r="I295" i="1" s="1"/>
  <c r="AG293" i="1"/>
  <c r="AH293" i="1" s="1"/>
  <c r="AI293" i="1" s="1"/>
  <c r="AK293" i="1" s="1"/>
  <c r="S293" i="1"/>
  <c r="J293" i="1"/>
  <c r="H293" i="1"/>
  <c r="I293" i="1" s="1"/>
  <c r="S62" i="1"/>
  <c r="J62" i="1"/>
  <c r="H62" i="1"/>
  <c r="S57" i="1"/>
  <c r="J57" i="1"/>
  <c r="H57" i="1"/>
  <c r="I57" i="1" s="1"/>
  <c r="S48" i="1"/>
  <c r="J48" i="1"/>
  <c r="H48" i="1"/>
  <c r="I48" i="1" s="1"/>
  <c r="S46" i="1"/>
  <c r="H46" i="1"/>
  <c r="I46" i="1" s="1"/>
  <c r="S35" i="1"/>
  <c r="J35" i="1"/>
  <c r="H35" i="1"/>
  <c r="I35" i="1" s="1"/>
  <c r="S34" i="1"/>
  <c r="J34" i="1"/>
  <c r="H34" i="1"/>
  <c r="I34" i="1" s="1"/>
  <c r="S22" i="1"/>
  <c r="J22" i="1"/>
  <c r="H22" i="1"/>
  <c r="I22" i="1" s="1"/>
  <c r="J254" i="1" l="1"/>
  <c r="H254" i="1"/>
  <c r="S254" i="1"/>
  <c r="J253" i="1" l="1"/>
  <c r="H253" i="1"/>
  <c r="S253" i="1"/>
  <c r="H252" i="1" l="1"/>
  <c r="S252" i="1"/>
  <c r="H251" i="1" l="1"/>
  <c r="H250" i="1" l="1"/>
  <c r="S250" i="1"/>
  <c r="S251" i="1"/>
  <c r="H69" i="1" l="1"/>
  <c r="I69" i="1" s="1"/>
  <c r="J140" i="1"/>
  <c r="H140" i="1"/>
  <c r="I140" i="1" s="1"/>
  <c r="J139" i="1"/>
  <c r="H139" i="1"/>
  <c r="I139" i="1" s="1"/>
  <c r="J138" i="1"/>
  <c r="H138" i="1"/>
  <c r="I138" i="1" s="1"/>
  <c r="J137" i="1"/>
  <c r="H137" i="1"/>
  <c r="I137" i="1" s="1"/>
  <c r="J136" i="1"/>
  <c r="H136" i="1"/>
  <c r="I136" i="1" s="1"/>
  <c r="J135" i="1"/>
  <c r="H135" i="1"/>
  <c r="I135" i="1" s="1"/>
  <c r="J133" i="1"/>
  <c r="H133" i="1"/>
  <c r="I133" i="1" s="1"/>
  <c r="J132" i="1"/>
  <c r="H132" i="1"/>
  <c r="I132" i="1" s="1"/>
  <c r="J131" i="1"/>
  <c r="H131" i="1"/>
  <c r="I131" i="1" s="1"/>
  <c r="J130" i="1"/>
  <c r="H130" i="1"/>
  <c r="I130" i="1" s="1"/>
  <c r="J129" i="1"/>
  <c r="H129" i="1"/>
  <c r="I129" i="1" s="1"/>
  <c r="J128" i="1"/>
  <c r="H128" i="1"/>
  <c r="I128" i="1" s="1"/>
  <c r="J127" i="1"/>
  <c r="H127" i="1"/>
  <c r="I127" i="1" s="1"/>
  <c r="J126" i="1"/>
  <c r="H126" i="1"/>
  <c r="I126" i="1" s="1"/>
  <c r="J125" i="1"/>
  <c r="H125" i="1"/>
  <c r="I125" i="1" s="1"/>
  <c r="J124" i="1"/>
  <c r="H124" i="1"/>
  <c r="I124" i="1" s="1"/>
  <c r="J123" i="1"/>
  <c r="H123" i="1"/>
  <c r="I123" i="1" s="1"/>
  <c r="J122" i="1"/>
  <c r="H122" i="1"/>
  <c r="I122" i="1" s="1"/>
  <c r="J121" i="1"/>
  <c r="H121" i="1"/>
  <c r="I121" i="1" s="1"/>
  <c r="J120" i="1"/>
  <c r="H120" i="1"/>
  <c r="I120" i="1" s="1"/>
  <c r="J119" i="1"/>
  <c r="H119" i="1"/>
  <c r="I119" i="1" s="1"/>
  <c r="J118" i="1"/>
  <c r="H118" i="1"/>
  <c r="I118" i="1" s="1"/>
  <c r="J117" i="1"/>
  <c r="H117" i="1"/>
  <c r="I117" i="1" s="1"/>
  <c r="J116" i="1"/>
  <c r="H116" i="1"/>
  <c r="I116" i="1" s="1"/>
  <c r="J115" i="1"/>
  <c r="H115" i="1"/>
  <c r="I115" i="1" s="1"/>
  <c r="J114" i="1"/>
  <c r="H114" i="1"/>
  <c r="I114" i="1" s="1"/>
  <c r="J113" i="1"/>
  <c r="H113" i="1"/>
  <c r="I113" i="1" s="1"/>
  <c r="J112" i="1"/>
  <c r="H112" i="1"/>
  <c r="I112" i="1" s="1"/>
  <c r="J111" i="1"/>
  <c r="H111" i="1"/>
  <c r="I111" i="1" s="1"/>
  <c r="J110" i="1"/>
  <c r="H110" i="1"/>
  <c r="I110" i="1" s="1"/>
  <c r="J109" i="1"/>
  <c r="H109" i="1"/>
  <c r="I109" i="1" s="1"/>
  <c r="J108" i="1"/>
  <c r="H108" i="1"/>
  <c r="I108" i="1" s="1"/>
  <c r="J107" i="1"/>
  <c r="H107" i="1"/>
  <c r="I107" i="1" s="1"/>
  <c r="J106" i="1"/>
  <c r="H106" i="1"/>
  <c r="I106" i="1" s="1"/>
  <c r="J105" i="1"/>
  <c r="H105" i="1"/>
  <c r="I105" i="1" s="1"/>
  <c r="J104" i="1"/>
  <c r="H104" i="1"/>
  <c r="I104" i="1" s="1"/>
  <c r="J103" i="1"/>
  <c r="H103" i="1"/>
  <c r="I103" i="1" s="1"/>
  <c r="J102" i="1"/>
  <c r="H102" i="1"/>
  <c r="I102" i="1" s="1"/>
  <c r="J101" i="1"/>
  <c r="H101" i="1"/>
  <c r="I101" i="1" s="1"/>
  <c r="J100" i="1"/>
  <c r="H100" i="1"/>
  <c r="I100" i="1" s="1"/>
  <c r="J99" i="1"/>
  <c r="H99" i="1"/>
  <c r="I99" i="1" s="1"/>
  <c r="J98" i="1"/>
  <c r="H98" i="1"/>
  <c r="I98" i="1" s="1"/>
  <c r="J97" i="1"/>
  <c r="H97" i="1"/>
  <c r="I97" i="1" s="1"/>
  <c r="J96" i="1"/>
  <c r="H96" i="1"/>
  <c r="I96" i="1" s="1"/>
  <c r="J95" i="1"/>
  <c r="H95" i="1"/>
  <c r="I95" i="1" s="1"/>
  <c r="J94" i="1"/>
  <c r="H94" i="1"/>
  <c r="I94" i="1" s="1"/>
  <c r="J93" i="1"/>
  <c r="H93" i="1"/>
  <c r="I93" i="1" s="1"/>
  <c r="J92" i="1"/>
  <c r="H92" i="1"/>
  <c r="I92" i="1" s="1"/>
  <c r="J86" i="1"/>
  <c r="H86" i="1"/>
  <c r="I86" i="1" s="1"/>
  <c r="J85" i="1"/>
  <c r="H85" i="1"/>
  <c r="I85" i="1" s="1"/>
  <c r="J84" i="1"/>
  <c r="H84" i="1"/>
  <c r="I84" i="1" s="1"/>
  <c r="J83" i="1"/>
  <c r="H83" i="1"/>
  <c r="I83" i="1" s="1"/>
  <c r="J82" i="1"/>
  <c r="H82" i="1"/>
  <c r="I82" i="1" s="1"/>
  <c r="J81" i="1"/>
  <c r="H81" i="1"/>
  <c r="I81" i="1" s="1"/>
  <c r="J80" i="1"/>
  <c r="H80" i="1"/>
  <c r="I80" i="1" s="1"/>
  <c r="J79" i="1"/>
  <c r="H79" i="1"/>
  <c r="I79" i="1" s="1"/>
  <c r="J78" i="1"/>
  <c r="H78" i="1"/>
  <c r="I78" i="1" s="1"/>
  <c r="J77" i="1"/>
  <c r="H77" i="1"/>
  <c r="I77" i="1" s="1"/>
  <c r="J76" i="1"/>
  <c r="H76" i="1"/>
  <c r="I76" i="1" s="1"/>
  <c r="J75" i="1"/>
  <c r="H75" i="1"/>
  <c r="I75" i="1" s="1"/>
  <c r="J74" i="1"/>
  <c r="H74" i="1"/>
  <c r="I74" i="1" s="1"/>
  <c r="H73" i="1"/>
  <c r="I73" i="1" s="1"/>
  <c r="J72" i="1"/>
  <c r="H72" i="1"/>
  <c r="I72" i="1" s="1"/>
  <c r="J71" i="1"/>
  <c r="H71" i="1"/>
  <c r="I71" i="1" s="1"/>
  <c r="J70" i="1"/>
  <c r="H70" i="1"/>
  <c r="I70" i="1" s="1"/>
  <c r="J69" i="1"/>
  <c r="J68" i="1"/>
  <c r="H68" i="1"/>
  <c r="I68" i="1" s="1"/>
  <c r="J66" i="1"/>
  <c r="H66" i="1"/>
  <c r="I66" i="1" s="1"/>
  <c r="J65" i="1"/>
  <c r="H65" i="1"/>
  <c r="I65" i="1" s="1"/>
  <c r="J64" i="1"/>
  <c r="H64" i="1"/>
  <c r="I64" i="1" s="1"/>
  <c r="J63" i="1"/>
  <c r="H63" i="1"/>
  <c r="I63" i="1" s="1"/>
  <c r="J61" i="1"/>
  <c r="H61" i="1"/>
  <c r="I61" i="1" s="1"/>
  <c r="J60" i="1"/>
  <c r="H60" i="1"/>
  <c r="I60" i="1" s="1"/>
  <c r="J59" i="1"/>
  <c r="H59" i="1"/>
  <c r="I59" i="1" s="1"/>
  <c r="H56" i="1"/>
  <c r="I56" i="1" s="1"/>
  <c r="J55" i="1"/>
  <c r="H55" i="1"/>
  <c r="I55" i="1" s="1"/>
  <c r="J54" i="1"/>
  <c r="H54" i="1"/>
  <c r="I54" i="1" s="1"/>
  <c r="J53" i="1"/>
  <c r="H53" i="1"/>
  <c r="I53" i="1" s="1"/>
  <c r="J52" i="1"/>
  <c r="H52" i="1"/>
  <c r="I52" i="1" s="1"/>
  <c r="J51" i="1"/>
  <c r="H51" i="1"/>
  <c r="I51" i="1" s="1"/>
  <c r="J50" i="1"/>
  <c r="H50" i="1"/>
  <c r="I50" i="1" s="1"/>
  <c r="J49" i="1"/>
  <c r="H49" i="1"/>
  <c r="I49" i="1" s="1"/>
  <c r="J47" i="1"/>
  <c r="H47" i="1"/>
  <c r="I47" i="1" s="1"/>
  <c r="J45" i="1"/>
  <c r="H45" i="1"/>
  <c r="I45" i="1" s="1"/>
  <c r="J44" i="1"/>
  <c r="H44" i="1"/>
  <c r="I44" i="1" s="1"/>
  <c r="J41" i="1"/>
  <c r="H41" i="1"/>
  <c r="I41" i="1" s="1"/>
  <c r="J40" i="1"/>
  <c r="H40" i="1"/>
  <c r="I40" i="1" s="1"/>
  <c r="J39" i="1"/>
  <c r="H39" i="1"/>
  <c r="I39" i="1" s="1"/>
  <c r="J38" i="1"/>
  <c r="H38" i="1"/>
  <c r="I38" i="1" s="1"/>
  <c r="J37" i="1"/>
  <c r="H37" i="1"/>
  <c r="I37" i="1" s="1"/>
  <c r="J36" i="1"/>
  <c r="H36" i="1"/>
  <c r="I36" i="1" s="1"/>
  <c r="J33" i="1"/>
  <c r="H33" i="1"/>
  <c r="I33" i="1" s="1"/>
  <c r="J32" i="1"/>
  <c r="H32" i="1"/>
  <c r="I32" i="1" s="1"/>
  <c r="J31" i="1"/>
  <c r="H31" i="1"/>
  <c r="I31" i="1" s="1"/>
  <c r="J30" i="1"/>
  <c r="H30" i="1"/>
  <c r="I30" i="1" s="1"/>
  <c r="J28" i="1"/>
  <c r="H28" i="1"/>
  <c r="I28" i="1" s="1"/>
  <c r="J27" i="1"/>
  <c r="H27" i="1"/>
  <c r="I27" i="1" s="1"/>
  <c r="J26" i="1"/>
  <c r="H26" i="1"/>
  <c r="I26" i="1" s="1"/>
  <c r="J25" i="1"/>
  <c r="H25" i="1"/>
  <c r="I25" i="1" s="1"/>
  <c r="H24" i="1"/>
  <c r="I24" i="1" s="1"/>
  <c r="H21" i="1"/>
  <c r="I21" i="1" s="1"/>
  <c r="H20" i="1"/>
  <c r="J19" i="1"/>
  <c r="H19" i="1"/>
  <c r="I19" i="1" s="1"/>
  <c r="J17" i="1"/>
  <c r="H17" i="1"/>
  <c r="I17" i="1" s="1"/>
  <c r="H16" i="1"/>
  <c r="I16" i="1" s="1"/>
  <c r="J13" i="1"/>
  <c r="H13" i="1"/>
  <c r="I13" i="1" s="1"/>
  <c r="J11" i="1"/>
  <c r="H11" i="1"/>
  <c r="I11" i="1" s="1"/>
  <c r="J9" i="1"/>
  <c r="H9" i="1"/>
  <c r="I9" i="1" s="1"/>
  <c r="J8" i="1"/>
  <c r="S374" i="1" l="1"/>
  <c r="S385" i="1" l="1"/>
  <c r="AG373" i="1" l="1"/>
  <c r="AH373" i="1" s="1"/>
  <c r="AI373" i="1" s="1"/>
  <c r="AK373" i="1" s="1"/>
  <c r="S373" i="1"/>
  <c r="S249" i="1" l="1"/>
  <c r="S10" i="1" l="1"/>
  <c r="S315" i="1" l="1"/>
  <c r="AG344" i="1" l="1"/>
  <c r="AH344" i="1" s="1"/>
  <c r="AI344" i="1" s="1"/>
  <c r="AK344" i="1" s="1"/>
  <c r="AG341" i="1"/>
  <c r="AH341" i="1" s="1"/>
  <c r="AI341" i="1" s="1"/>
  <c r="AK341" i="1" s="1"/>
  <c r="AG343" i="1"/>
  <c r="AH343" i="1" s="1"/>
  <c r="AI343" i="1" s="1"/>
  <c r="AK343" i="1" s="1"/>
  <c r="AG349" i="1"/>
  <c r="AH349" i="1" s="1"/>
  <c r="AI349" i="1" s="1"/>
  <c r="AK349" i="1" s="1"/>
  <c r="AG351" i="1"/>
  <c r="AH351" i="1" s="1"/>
  <c r="AI351" i="1" s="1"/>
  <c r="AK351" i="1" s="1"/>
  <c r="AG352" i="1"/>
  <c r="AH352" i="1" s="1"/>
  <c r="AI352" i="1" s="1"/>
  <c r="AK352" i="1" s="1"/>
  <c r="AG353" i="1"/>
  <c r="AH353" i="1" s="1"/>
  <c r="AI353" i="1" s="1"/>
  <c r="AK353" i="1" s="1"/>
  <c r="AG355" i="1"/>
  <c r="AH355" i="1" s="1"/>
  <c r="AI355" i="1" s="1"/>
  <c r="AK355" i="1" s="1"/>
  <c r="AG358" i="1"/>
  <c r="AH358" i="1" s="1"/>
  <c r="AI358" i="1" s="1"/>
  <c r="AK358" i="1" s="1"/>
  <c r="AG359" i="1"/>
  <c r="AH359" i="1" s="1"/>
  <c r="AI359" i="1" s="1"/>
  <c r="AK359" i="1" s="1"/>
  <c r="AG145" i="1"/>
  <c r="AH145" i="1" s="1"/>
  <c r="AI145" i="1" s="1"/>
  <c r="AK145" i="1" s="1"/>
  <c r="AG360" i="1"/>
  <c r="AH360" i="1" s="1"/>
  <c r="AI360" i="1" s="1"/>
  <c r="AK360" i="1" s="1"/>
  <c r="AG361" i="1"/>
  <c r="AH361" i="1" s="1"/>
  <c r="AI361" i="1" s="1"/>
  <c r="AK361" i="1" s="1"/>
  <c r="AG364" i="1"/>
  <c r="AH364" i="1" s="1"/>
  <c r="AI364" i="1" s="1"/>
  <c r="AK364" i="1" s="1"/>
  <c r="S340" i="1" l="1"/>
  <c r="S338" i="1"/>
  <c r="S337" i="1"/>
  <c r="S336" i="1"/>
  <c r="AG334" i="1"/>
  <c r="AH334" i="1" s="1"/>
  <c r="AI334" i="1" s="1"/>
  <c r="AK334" i="1" s="1"/>
  <c r="X112" i="1"/>
  <c r="S334" i="1"/>
  <c r="X108" i="1"/>
  <c r="X106" i="1"/>
  <c r="AG307" i="1"/>
  <c r="AH307" i="1" s="1"/>
  <c r="AI307" i="1" s="1"/>
  <c r="AK307" i="1" s="1"/>
  <c r="AG308" i="1"/>
  <c r="AH308" i="1" s="1"/>
  <c r="AI308" i="1" s="1"/>
  <c r="AK308" i="1" s="1"/>
  <c r="AG309" i="1"/>
  <c r="AH309" i="1" s="1"/>
  <c r="AI309" i="1" s="1"/>
  <c r="AK309" i="1" s="1"/>
  <c r="AG310" i="1"/>
  <c r="AH310" i="1" s="1"/>
  <c r="AI310" i="1" s="1"/>
  <c r="AK310" i="1" s="1"/>
  <c r="AG312" i="1"/>
  <c r="AH312" i="1" s="1"/>
  <c r="AI312" i="1" s="1"/>
  <c r="AK312" i="1" s="1"/>
  <c r="AG313" i="1"/>
  <c r="AH313" i="1" s="1"/>
  <c r="AI313" i="1" s="1"/>
  <c r="AK313" i="1" s="1"/>
  <c r="AG314" i="1"/>
  <c r="AH314" i="1" s="1"/>
  <c r="AI314" i="1" s="1"/>
  <c r="AK314" i="1" s="1"/>
  <c r="AG316" i="1"/>
  <c r="AH316" i="1" s="1"/>
  <c r="AI316" i="1" s="1"/>
  <c r="AK316" i="1" s="1"/>
  <c r="AG317" i="1"/>
  <c r="AH317" i="1" s="1"/>
  <c r="AI317" i="1" s="1"/>
  <c r="AK317" i="1" s="1"/>
  <c r="AG318" i="1"/>
  <c r="AH318" i="1" s="1"/>
  <c r="AI318" i="1" s="1"/>
  <c r="AK318" i="1" s="1"/>
  <c r="AG319" i="1"/>
  <c r="AH319" i="1" s="1"/>
  <c r="AI319" i="1" s="1"/>
  <c r="AK319" i="1" s="1"/>
  <c r="AG321" i="1"/>
  <c r="AH321" i="1" s="1"/>
  <c r="AI321" i="1" s="1"/>
  <c r="AK321" i="1" s="1"/>
  <c r="AG322" i="1"/>
  <c r="AH322" i="1" s="1"/>
  <c r="AI322" i="1" s="1"/>
  <c r="AK322" i="1" s="1"/>
  <c r="AG323" i="1"/>
  <c r="AH323" i="1" s="1"/>
  <c r="AI323" i="1" s="1"/>
  <c r="AK323" i="1" s="1"/>
  <c r="AG324" i="1"/>
  <c r="AH324" i="1" s="1"/>
  <c r="AI324" i="1" s="1"/>
  <c r="AK324" i="1" s="1"/>
  <c r="AG325" i="1"/>
  <c r="AH325" i="1" s="1"/>
  <c r="AI325" i="1" s="1"/>
  <c r="AK325" i="1" s="1"/>
  <c r="AG326" i="1"/>
  <c r="AH326" i="1" s="1"/>
  <c r="AI326" i="1" s="1"/>
  <c r="AK326" i="1" s="1"/>
  <c r="AG328" i="1"/>
  <c r="AH328" i="1" s="1"/>
  <c r="AI328" i="1" s="1"/>
  <c r="AK328" i="1" s="1"/>
  <c r="AG329" i="1"/>
  <c r="AH329" i="1" s="1"/>
  <c r="AI329" i="1" s="1"/>
  <c r="AK329" i="1" s="1"/>
  <c r="AG330" i="1"/>
  <c r="AH330" i="1" s="1"/>
  <c r="AI330" i="1" s="1"/>
  <c r="AK330" i="1" s="1"/>
  <c r="AG331" i="1"/>
  <c r="AH331" i="1" s="1"/>
  <c r="AI331" i="1" s="1"/>
  <c r="AK331" i="1" s="1"/>
  <c r="AG332" i="1"/>
  <c r="AH332" i="1" s="1"/>
  <c r="AI332" i="1" s="1"/>
  <c r="AK332" i="1" s="1"/>
  <c r="AG333" i="1"/>
  <c r="AH333" i="1" s="1"/>
  <c r="AI333" i="1" s="1"/>
  <c r="AK333" i="1" s="1"/>
  <c r="AG299" i="1"/>
  <c r="AH299" i="1" s="1"/>
  <c r="AI299" i="1" s="1"/>
  <c r="AK299" i="1" s="1"/>
  <c r="AG288" i="1"/>
  <c r="AH288" i="1" s="1"/>
  <c r="AI288" i="1" s="1"/>
  <c r="AK288" i="1" s="1"/>
  <c r="AG289" i="1"/>
  <c r="AH289" i="1" s="1"/>
  <c r="AI289" i="1" s="1"/>
  <c r="AK289" i="1" s="1"/>
  <c r="AG290" i="1"/>
  <c r="AH290" i="1" s="1"/>
  <c r="AI290" i="1" s="1"/>
  <c r="AK290" i="1" s="1"/>
  <c r="AG291" i="1"/>
  <c r="AH291" i="1" s="1"/>
  <c r="AI291" i="1" s="1"/>
  <c r="AK291" i="1" s="1"/>
  <c r="AG292" i="1"/>
  <c r="AH292" i="1" s="1"/>
  <c r="AI292" i="1" s="1"/>
  <c r="AK292" i="1" s="1"/>
  <c r="AG294" i="1"/>
  <c r="AH294" i="1" s="1"/>
  <c r="AI294" i="1" s="1"/>
  <c r="AK294" i="1" s="1"/>
  <c r="AG296" i="1"/>
  <c r="AH296" i="1" s="1"/>
  <c r="AI296" i="1" s="1"/>
  <c r="AK296" i="1" s="1"/>
  <c r="AG297" i="1"/>
  <c r="AH297" i="1" s="1"/>
  <c r="AI297" i="1" s="1"/>
  <c r="AK297" i="1" s="1"/>
  <c r="AG300" i="1"/>
  <c r="AH300" i="1" s="1"/>
  <c r="AI300" i="1" s="1"/>
  <c r="AK300" i="1" s="1"/>
  <c r="AG301" i="1"/>
  <c r="AH301" i="1" s="1"/>
  <c r="AI301" i="1" s="1"/>
  <c r="AK301" i="1" s="1"/>
  <c r="AG302" i="1"/>
  <c r="AH302" i="1" s="1"/>
  <c r="AI302" i="1" s="1"/>
  <c r="AK302" i="1" s="1"/>
  <c r="AG303" i="1"/>
  <c r="AH303" i="1" s="1"/>
  <c r="AI303" i="1" s="1"/>
  <c r="AK303" i="1" s="1"/>
  <c r="AG304" i="1"/>
  <c r="AH304" i="1" s="1"/>
  <c r="AI304" i="1" s="1"/>
  <c r="AK304" i="1" s="1"/>
  <c r="AG305" i="1"/>
  <c r="AH305" i="1" s="1"/>
  <c r="AI305" i="1" s="1"/>
  <c r="AK305" i="1" s="1"/>
  <c r="AG306" i="1"/>
  <c r="AH306" i="1" s="1"/>
  <c r="AI306" i="1" s="1"/>
  <c r="AK306" i="1" s="1"/>
  <c r="AG286" i="1"/>
  <c r="AH286" i="1" s="1"/>
  <c r="AI286" i="1" s="1"/>
  <c r="AK286" i="1" s="1"/>
  <c r="AG287" i="1"/>
  <c r="AH287" i="1" s="1"/>
  <c r="AI287" i="1" s="1"/>
  <c r="AK287" i="1" s="1"/>
  <c r="AG285" i="1"/>
  <c r="AH285" i="1" s="1"/>
  <c r="AI285" i="1" s="1"/>
  <c r="AK285" i="1" s="1"/>
  <c r="AG284" i="1"/>
  <c r="AH284" i="1" s="1"/>
  <c r="AI284" i="1" s="1"/>
  <c r="AK284" i="1" s="1"/>
  <c r="S306" i="1"/>
  <c r="S333" i="1"/>
  <c r="S332" i="1"/>
  <c r="S331" i="1"/>
  <c r="S330" i="1"/>
  <c r="S305" i="1"/>
  <c r="S304" i="1"/>
  <c r="S369" i="1"/>
  <c r="S368" i="1"/>
  <c r="S367" i="1"/>
  <c r="S366" i="1"/>
  <c r="S303" i="1"/>
  <c r="S302" i="1"/>
  <c r="S301" i="1"/>
  <c r="S300" i="1"/>
  <c r="S326" i="1"/>
  <c r="S324" i="1"/>
  <c r="S323" i="1"/>
  <c r="S360" i="1"/>
  <c r="V322" i="1"/>
  <c r="S322" i="1" s="1"/>
  <c r="S321" i="1"/>
  <c r="S145" i="1"/>
  <c r="S319" i="1"/>
  <c r="S359" i="1"/>
  <c r="S358" i="1"/>
  <c r="S318" i="1"/>
  <c r="S317" i="1"/>
  <c r="S354" i="1"/>
  <c r="S353" i="1"/>
  <c r="S316" i="1"/>
  <c r="S352" i="1"/>
  <c r="S297" i="1"/>
  <c r="S351" i="1"/>
  <c r="S314" i="1"/>
  <c r="S313" i="1"/>
  <c r="S296" i="1"/>
  <c r="S294" i="1"/>
  <c r="S292" i="1"/>
  <c r="S291" i="1"/>
  <c r="S350" i="1"/>
  <c r="S349" i="1"/>
  <c r="S343" i="1"/>
  <c r="S310" i="1"/>
  <c r="S309" i="1"/>
  <c r="S308" i="1"/>
  <c r="S342" i="1"/>
  <c r="S341" i="1"/>
  <c r="S290" i="1" l="1"/>
  <c r="S289" i="1"/>
  <c r="S307" i="1"/>
  <c r="S286" i="1"/>
  <c r="S285" i="1"/>
  <c r="S284" i="1"/>
  <c r="S384" i="1" l="1"/>
  <c r="S383" i="1"/>
  <c r="S382" i="1"/>
  <c r="S248" i="1" l="1"/>
  <c r="S247" i="1" l="1"/>
  <c r="S246" i="1" l="1"/>
  <c r="S111" i="1" l="1"/>
  <c r="S245" i="1" l="1"/>
  <c r="S244" i="1" l="1"/>
  <c r="S243" i="1" l="1"/>
  <c r="S242" i="1" l="1"/>
  <c r="S241" i="1" l="1"/>
  <c r="S240" i="1" l="1"/>
  <c r="S239" i="1" l="1"/>
  <c r="S238" i="1" l="1"/>
  <c r="S237" i="1" l="1"/>
  <c r="S236" i="1" l="1"/>
  <c r="X54" i="1" l="1"/>
  <c r="S86" i="1"/>
  <c r="S139" i="1" l="1"/>
  <c r="S235" i="1" l="1"/>
  <c r="S234" i="1" l="1"/>
  <c r="S233" i="1" l="1"/>
  <c r="S232" i="1" l="1"/>
  <c r="S231" i="1" l="1"/>
  <c r="S230" i="1" l="1"/>
  <c r="S229" i="1" l="1"/>
  <c r="S222" i="1" l="1"/>
  <c r="S223" i="1"/>
  <c r="S224" i="1"/>
  <c r="S225" i="1"/>
  <c r="S226" i="1"/>
  <c r="S227" i="1"/>
  <c r="S228" i="1"/>
  <c r="S220" i="1"/>
  <c r="S221" i="1"/>
  <c r="S219" i="1" l="1"/>
  <c r="X212" i="1" l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05" i="1" l="1"/>
  <c r="S206" i="1"/>
  <c r="S203" i="1" l="1"/>
  <c r="S204" i="1"/>
  <c r="S202" i="1"/>
  <c r="S201" i="1"/>
  <c r="S200" i="1" l="1"/>
  <c r="S199" i="1"/>
  <c r="S198" i="1"/>
  <c r="S197" i="1"/>
  <c r="S196" i="1"/>
  <c r="S195" i="1" l="1"/>
  <c r="S138" i="1" l="1"/>
  <c r="S137" i="1"/>
  <c r="S136" i="1"/>
  <c r="S194" i="1" l="1"/>
  <c r="S193" i="1" l="1"/>
  <c r="S192" i="1"/>
  <c r="S191" i="1" l="1"/>
  <c r="S189" i="1" l="1"/>
  <c r="S190" i="1"/>
  <c r="S188" i="1" l="1"/>
  <c r="S187" i="1" l="1"/>
  <c r="S184" i="1" l="1"/>
  <c r="S185" i="1"/>
  <c r="S186" i="1"/>
  <c r="S183" i="1"/>
  <c r="S182" i="1" l="1"/>
  <c r="X180" i="1" l="1"/>
  <c r="X181" i="1"/>
  <c r="S180" i="1"/>
  <c r="S181" i="1"/>
  <c r="S178" i="1" l="1"/>
  <c r="S179" i="1"/>
  <c r="S177" i="1" l="1"/>
  <c r="S176" i="1" l="1"/>
  <c r="S107" i="1" l="1"/>
  <c r="S175" i="1" l="1"/>
  <c r="S164" i="1" l="1"/>
  <c r="S165" i="1"/>
  <c r="S166" i="1"/>
  <c r="X159" i="1" l="1"/>
  <c r="S172" i="1"/>
  <c r="S173" i="1"/>
  <c r="S159" i="1"/>
  <c r="S161" i="1" l="1"/>
  <c r="S160" i="1"/>
  <c r="S131" i="1" l="1"/>
  <c r="S170" i="1" l="1"/>
  <c r="S171" i="1"/>
  <c r="S162" i="1"/>
  <c r="S158" i="1"/>
  <c r="S129" i="1" l="1"/>
  <c r="S130" i="1"/>
  <c r="S169" i="1" l="1"/>
  <c r="S168" i="1"/>
  <c r="S167" i="1"/>
  <c r="S135" i="1"/>
  <c r="S140" i="1"/>
  <c r="S125" i="1"/>
  <c r="S174" i="1"/>
  <c r="S101" i="1"/>
  <c r="S133" i="1"/>
  <c r="S128" i="1"/>
  <c r="S127" i="1"/>
  <c r="S126" i="1"/>
  <c r="S132" i="1"/>
  <c r="S115" i="1" l="1"/>
  <c r="S112" i="1"/>
  <c r="S114" i="1"/>
  <c r="S100" i="1"/>
  <c r="S67" i="1"/>
  <c r="S124" i="1"/>
  <c r="S123" i="1"/>
  <c r="S122" i="1"/>
  <c r="S121" i="1"/>
  <c r="S120" i="1"/>
  <c r="S119" i="1"/>
  <c r="S118" i="1"/>
  <c r="S117" i="1"/>
  <c r="S116" i="1"/>
  <c r="S113" i="1"/>
  <c r="S109" i="1"/>
  <c r="S108" i="1"/>
  <c r="S106" i="1"/>
  <c r="S105" i="1"/>
  <c r="S104" i="1"/>
  <c r="S103" i="1"/>
  <c r="S102" i="1"/>
  <c r="S99" i="1"/>
  <c r="S98" i="1"/>
  <c r="S97" i="1"/>
  <c r="S96" i="1"/>
  <c r="S95" i="1"/>
  <c r="S94" i="1"/>
  <c r="S93" i="1"/>
  <c r="S92" i="1"/>
  <c r="S84" i="1"/>
  <c r="S83" i="1"/>
  <c r="S82" i="1"/>
  <c r="S81" i="1"/>
  <c r="S30" i="1"/>
  <c r="S85" i="1" l="1"/>
  <c r="S153" i="1"/>
  <c r="V72" i="1"/>
  <c r="V73" i="1"/>
  <c r="V74" i="1"/>
  <c r="V75" i="1"/>
  <c r="S87" i="1" l="1"/>
  <c r="S88" i="1"/>
  <c r="S89" i="1"/>
  <c r="S90" i="1"/>
  <c r="S91" i="1"/>
  <c r="S110" i="1"/>
  <c r="S13" i="1" l="1"/>
  <c r="S11" i="1" l="1"/>
  <c r="S76" i="1"/>
  <c r="S77" i="1"/>
  <c r="S78" i="1"/>
  <c r="S79" i="1"/>
  <c r="S80" i="1"/>
  <c r="S70" i="1"/>
  <c r="S24" i="1"/>
  <c r="S25" i="1"/>
  <c r="S26" i="1"/>
  <c r="S27" i="1"/>
  <c r="S28" i="1"/>
  <c r="S29" i="1"/>
  <c r="S17" i="1"/>
  <c r="S31" i="1"/>
  <c r="S32" i="1"/>
  <c r="S33" i="1"/>
  <c r="S36" i="1"/>
  <c r="S37" i="1"/>
  <c r="S38" i="1"/>
  <c r="S39" i="1"/>
  <c r="S40" i="1"/>
  <c r="S41" i="1"/>
  <c r="S44" i="1"/>
  <c r="S45" i="1"/>
  <c r="S47" i="1"/>
  <c r="S49" i="1"/>
  <c r="S50" i="1"/>
  <c r="S51" i="1"/>
  <c r="S52" i="1"/>
  <c r="S53" i="1"/>
  <c r="S54" i="1"/>
  <c r="S55" i="1"/>
  <c r="S56" i="1"/>
  <c r="S58" i="1"/>
  <c r="S59" i="1"/>
  <c r="S60" i="1"/>
  <c r="S61" i="1"/>
  <c r="S63" i="1"/>
  <c r="S64" i="1"/>
  <c r="S65" i="1"/>
  <c r="S66" i="1"/>
  <c r="S69" i="1"/>
  <c r="S68" i="1"/>
  <c r="S71" i="1"/>
  <c r="S72" i="1"/>
  <c r="S73" i="1"/>
  <c r="S74" i="1"/>
  <c r="S75" i="1"/>
  <c r="S9" i="1"/>
  <c r="S14" i="1"/>
  <c r="S15" i="1"/>
  <c r="S16" i="1"/>
  <c r="S19" i="1"/>
  <c r="S20" i="1"/>
  <c r="S21" i="1"/>
  <c r="S8" i="1"/>
</calcChain>
</file>

<file path=xl/sharedStrings.xml><?xml version="1.0" encoding="utf-8"?>
<sst xmlns="http://schemas.openxmlformats.org/spreadsheetml/2006/main" count="6579" uniqueCount="2205">
  <si>
    <t>№ п\п</t>
  </si>
  <si>
    <t xml:space="preserve">Всего обслуживаемых жилых домов </t>
  </si>
  <si>
    <t>г. Краснокамск, ул. Циолковского, 8 / 58.074324, 55.662952</t>
  </si>
  <si>
    <t>г. Краснокамск, ул. Циолковского, 4 / 58.074767, 55.663751</t>
  </si>
  <si>
    <t>Инвентарный номер контейнерной площадки</t>
  </si>
  <si>
    <t>б/н</t>
  </si>
  <si>
    <t>─</t>
  </si>
  <si>
    <t>грунт</t>
  </si>
  <si>
    <t>г. Краснокамск, ул. Пугачева, 11 / 58.079319, 55.711531</t>
  </si>
  <si>
    <t>0000000000000697     0000000000000691</t>
  </si>
  <si>
    <t>10136000000029   10136000000030  10136000000031</t>
  </si>
  <si>
    <t>00000000000597</t>
  </si>
  <si>
    <t>00000000000343</t>
  </si>
  <si>
    <t>00000000000339</t>
  </si>
  <si>
    <t>00000000000485</t>
  </si>
  <si>
    <t>00000000000556</t>
  </si>
  <si>
    <t>00000000000480</t>
  </si>
  <si>
    <t>00000000000594</t>
  </si>
  <si>
    <t>г. Краснокамск, ул. К. Либкнехта, 1а / 58.082283, 55.734162</t>
  </si>
  <si>
    <t>00000000000479</t>
  </si>
  <si>
    <t>00000000000344                  00000000000492</t>
  </si>
  <si>
    <t>г. Краснокамск, Рождественский проезд, 3 / 58.078797, 55.712183</t>
  </si>
  <si>
    <t>00000000000334</t>
  </si>
  <si>
    <t>00000000000552</t>
  </si>
  <si>
    <t>асфальт</t>
  </si>
  <si>
    <t>0000000000562</t>
  </si>
  <si>
    <t>00000000000561</t>
  </si>
  <si>
    <t>г. Краснокамск, ул. Калинина, 18 / 58.078280, 55.716620</t>
  </si>
  <si>
    <t>г. Краснокамск, ул. Суворова, 5 / 58.076876, 55.733932</t>
  </si>
  <si>
    <t>00000000000341</t>
  </si>
  <si>
    <t>00000000000332</t>
  </si>
  <si>
    <t>00000000000558          00000000000663</t>
  </si>
  <si>
    <t>00000000000333</t>
  </si>
  <si>
    <t>00000000000284</t>
  </si>
  <si>
    <t>г. Краснокамск, ул. К. Маркса, 11 / 58.080503, 55.740493</t>
  </si>
  <si>
    <t>00000000000555</t>
  </si>
  <si>
    <t>00000000000342</t>
  </si>
  <si>
    <t>00000000000550</t>
  </si>
  <si>
    <t>г. Краснокамск, пер. Банковский, 4 / 58.079581, 55.754027</t>
  </si>
  <si>
    <t>00000000000336</t>
  </si>
  <si>
    <t>г. Краснокамск, ул. Калинина, 5/2 / 58.075665, 55.738049</t>
  </si>
  <si>
    <t>00000000000564               00000000000557</t>
  </si>
  <si>
    <t>г. Краснокамск, ул. К. Маркса, 3 / 58.079609, 55.736789</t>
  </si>
  <si>
    <t>00000000000499 (КГМ)      00000000000338 (ТКО)</t>
  </si>
  <si>
    <t>г. Краснокамск, ул. 50 лет Октября, 1 / 58.073405, 55.740940</t>
  </si>
  <si>
    <t>00000000000682           00000000000355</t>
  </si>
  <si>
    <t>г. Краснокамск, ул. Чехова, 3 / 58.079362, 55.743691</t>
  </si>
  <si>
    <t>г. Краснокамск, ул. Калинина, 10 / 58.076384, 55.736774</t>
  </si>
  <si>
    <t>00000000000516</t>
  </si>
  <si>
    <t>00000000000592</t>
  </si>
  <si>
    <t>00000000000538</t>
  </si>
  <si>
    <t>00000000000688</t>
  </si>
  <si>
    <t>00000000000318</t>
  </si>
  <si>
    <t>00000000000440</t>
  </si>
  <si>
    <t>г. Краснокамск, ул. Коммунистическая, 10а / 58.085395, 55.763195</t>
  </si>
  <si>
    <t>00000000000503           00000000000331</t>
  </si>
  <si>
    <t>00000000000495                            00000000000324</t>
  </si>
  <si>
    <t>00000000000601</t>
  </si>
  <si>
    <t>г. Краснокамск, пр. Мира, 10 / 58.081114, 55.747944</t>
  </si>
  <si>
    <t>00000000000340</t>
  </si>
  <si>
    <t>00000000000337</t>
  </si>
  <si>
    <t>00000000000551</t>
  </si>
  <si>
    <t>0000000000445</t>
  </si>
  <si>
    <t>г. Краснокамск, пр. Мира, 9 / 58.081561, 55.749503;  58.081797, 55.749940</t>
  </si>
  <si>
    <t>00000000000539                      00000000000475</t>
  </si>
  <si>
    <t>00000000000553</t>
  </si>
  <si>
    <t>г. Краснокамск, пр. Комсомольский, 9 / 58.081919, 55.754559</t>
  </si>
  <si>
    <t>00000000000317</t>
  </si>
  <si>
    <t>00000000000282</t>
  </si>
  <si>
    <t>г. Краснокамск, ул. Большевистская, 39 / 58.083499, 55.753643</t>
  </si>
  <si>
    <t>00000000000335</t>
  </si>
  <si>
    <t>00000000000276</t>
  </si>
  <si>
    <t>г. Краснокамск, пр. Маяковского, 16 / 58.081079, 55.756953</t>
  </si>
  <si>
    <t>00000000000328</t>
  </si>
  <si>
    <t>г. Краснокамск, ул. Пушкина, 12 / 58.089659, 55.756513</t>
  </si>
  <si>
    <t>00000000000327</t>
  </si>
  <si>
    <t>00000000000596</t>
  </si>
  <si>
    <t>00000000000326</t>
  </si>
  <si>
    <t>00000000000444</t>
  </si>
  <si>
    <t>00000000000325</t>
  </si>
  <si>
    <t>00000000000595</t>
  </si>
  <si>
    <t>г. Краснокамск, ул. Пушкина, 16 / 58.089238, 55.753890</t>
  </si>
  <si>
    <t>00000000000501                   00000000000333</t>
  </si>
  <si>
    <t>00000000000600</t>
  </si>
  <si>
    <t>00000000000496                                  00000000000320</t>
  </si>
  <si>
    <t>г. Краснокамск, ул. Победы, 2 / 58.085496, 55.779783</t>
  </si>
  <si>
    <t>00000000000330</t>
  </si>
  <si>
    <t>00000000000662</t>
  </si>
  <si>
    <t>г. Краснокамск, ул. Энтузиастов, 20 / 58.088457, 55.776599</t>
  </si>
  <si>
    <t>г. Краснокамск, ул. К. Маркса, 89 / 58.090152, 55.783031</t>
  </si>
  <si>
    <t>10113000000022</t>
  </si>
  <si>
    <t>00000000000482</t>
  </si>
  <si>
    <t>00000000000487</t>
  </si>
  <si>
    <t>00000000000514                        00000000000321</t>
  </si>
  <si>
    <t>00000000000660</t>
  </si>
  <si>
    <t>00000000000491</t>
  </si>
  <si>
    <t>г. Краснокамск, ул. Дзержинского, 2а / 58.069110, 55.799076</t>
  </si>
  <si>
    <t>г. Краснокамск, ул. Дзержинского, 7 / 58.067262, 55.799719</t>
  </si>
  <si>
    <t>00000000000489</t>
  </si>
  <si>
    <t>00000000000508</t>
  </si>
  <si>
    <t>00000000000681</t>
  </si>
  <si>
    <t>г. Краснокамск, ул. Республиканская, 1 / 58.060098, 55.806167</t>
  </si>
  <si>
    <t>00000000000512</t>
  </si>
  <si>
    <t>00000000000505</t>
  </si>
  <si>
    <t>г. Краснокамск, ул. Энергетиков, 1 / 58.064821, 55.800743</t>
  </si>
  <si>
    <t>00000000000439</t>
  </si>
  <si>
    <t>00000000000559</t>
  </si>
  <si>
    <t>00000000000599</t>
  </si>
  <si>
    <t>00000000000447</t>
  </si>
  <si>
    <t>10113000000020</t>
  </si>
  <si>
    <t>00000000000456                      00000000000565</t>
  </si>
  <si>
    <t>Правообладатель земельного участка</t>
  </si>
  <si>
    <t>Правообладатель контейнеров/ бункеров-накопителей</t>
  </si>
  <si>
    <t>Собственники ЗУ 59:07:0010308:8  МКД  по ул. Гагарина, 2б</t>
  </si>
  <si>
    <t>00000000000549</t>
  </si>
  <si>
    <t>Собственники ЗУ 59:07:0010516:27  МКД  по ул. Калинина, 8</t>
  </si>
  <si>
    <t xml:space="preserve">00000000000689            </t>
  </si>
  <si>
    <t>Собственники ЗУ 59:07:0020127:83 МКД по ул. Строителей, 1а</t>
  </si>
  <si>
    <t>─—</t>
  </si>
  <si>
    <t>ЗУ госуд.собств-сть не разграничена</t>
  </si>
  <si>
    <t>50/50 Сосбственнки ЗУ МКД по ул. Чехова, 3 и 4 (проект планировки)</t>
  </si>
  <si>
    <t>ЗУ 59:07:0010611:1390, собственники МКД по ул. Пушкина, 16</t>
  </si>
  <si>
    <t>ООО "Буматика"</t>
  </si>
  <si>
    <t>д. Ананичи</t>
  </si>
  <si>
    <t>д. Ананичи (р-он магазина № 32) / 58,254264 55,831984</t>
  </si>
  <si>
    <t>Администрация г.Краснокамска, ОГРН 1185958069648</t>
  </si>
  <si>
    <t>Администрация г.Краснокамска, ОГРН 1185958069648 (ЗУ 59:07:0000000:5140)</t>
  </si>
  <si>
    <t>Администрация г.Краснокамска, ОГРН 1185958069648 (ЗУ 59:07:0010317:225)</t>
  </si>
  <si>
    <t>Администрация г.Краснокамска, ОГРН 1185958069648 (проект планировки)</t>
  </si>
  <si>
    <t>Администрация г.Краснокамска, ОГРН 1185958069648 (ЗУ 59:07:0010605:38 )</t>
  </si>
  <si>
    <t>50/50 Администрация г.Краснокамска, ОГРН 1185958069648 и Собственники ЗУ (59:07:0010606:19) МКД по пр. Мира, 9</t>
  </si>
  <si>
    <t>Администрация г.Краснокамска, ОГРН 1185958069648, ЗУ 59:07:0010607:1143</t>
  </si>
  <si>
    <t>Администрация г.Краснокамска, ОГРН 1185958069648, ЗУ 59:07:0010603:7 под строительство МКД по ул. К.Маркса, 36</t>
  </si>
  <si>
    <t>Администрация г.Краснокамска, ОГРН 1185958069648, ЗУ 59:07:0011309:373</t>
  </si>
  <si>
    <t>г. Краснокамск, ул. Геофизиков, 23 / 58.077319, 55.765298</t>
  </si>
  <si>
    <t>асфальтобетон</t>
  </si>
  <si>
    <t>данные о правообладателе отсутствуют (выписка из ЕГРН от 11.04.2019г.)</t>
  </si>
  <si>
    <t>Реестр мест (площадок) накопления твердых коммунальных отходов на территории Краснокамского городского округа</t>
  </si>
  <si>
    <t>Данные о собственниках мест (площадок) накопления ТКО</t>
  </si>
  <si>
    <t>Данные об источниках образования ТКО</t>
  </si>
  <si>
    <t>сведения об объекте капитального строительства</t>
  </si>
  <si>
    <t>—</t>
  </si>
  <si>
    <t>1</t>
  </si>
  <si>
    <t xml:space="preserve">ООО "Пермская сетевая компания", ОГРН 1075904022644, г. Пермь, ул. Сибирская, 67
</t>
  </si>
  <si>
    <t>ТСЖ "Пушкина, 16", ОГРН 1115916000100, г. Краснокамск, ул. Пушкина, 16</t>
  </si>
  <si>
    <t>ул.Циолковского,8</t>
  </si>
  <si>
    <t>ул.Циолковского,4</t>
  </si>
  <si>
    <t>ул. Киевская, 17,18,19</t>
  </si>
  <si>
    <t>пер. Восточный, 4; ул. Восточная, 1,2,3</t>
  </si>
  <si>
    <t>Рождественский проезд, 3,3а,3б</t>
  </si>
  <si>
    <t>ул. Гагарина, 2а,2б</t>
  </si>
  <si>
    <t>ул. Пугачева, 11,13</t>
  </si>
  <si>
    <t>ул. Запальта, 17/1,17/2,17/3,17/4,18/1,18/2,18/3; ул. Пугачева, 17,19</t>
  </si>
  <si>
    <t>ул. К.Маркса,20,18,22,24; ул. Чапева, 26; пр. Маяковского, 1,2</t>
  </si>
  <si>
    <t>ул. К.Либкнехта, 1,1а,3,5; ул. Чапаева, 3а,5,7,17</t>
  </si>
  <si>
    <t>ул. Чапаева, 23,9,11,13,21,25</t>
  </si>
  <si>
    <t>ул. Чапаева, 29,27,31</t>
  </si>
  <si>
    <t>ул. Восточная, ул. П.Осипенко</t>
  </si>
  <si>
    <t>ул. Бумажников</t>
  </si>
  <si>
    <t>ул.Лихачева, ул.Загородная, ул.Нахимова, ул. Металлистов</t>
  </si>
  <si>
    <t>ул. Декабристов</t>
  </si>
  <si>
    <t>Рождественский проезд, ул.Декабристов</t>
  </si>
  <si>
    <t>Рябиновый проезд, 2; ул. Калинина, 18</t>
  </si>
  <si>
    <t>пер.Нагорный, ул. Уральская</t>
  </si>
  <si>
    <t>пер.Гознаковский, 2,3,4,6; ул.К.Либкнехта, 4,4а,4б,6,8; ул.Комарова, 4,4а,6</t>
  </si>
  <si>
    <t>ул. К.Маркса, 11,9,13,15; ул.Школьная,4,10; ул.Большевивтская,12,14,16,22,28,7,9</t>
  </si>
  <si>
    <t>ул. К.Маркса, 21,17,19,23,25,27; ул. Большевистская, 30,32,34,36,38</t>
  </si>
  <si>
    <t>пер. Банковский, 4,6; пр. Комсомольский, 24,22; пр. Мира ,9 (квартиры с 104 по 206)</t>
  </si>
  <si>
    <t>ул. К.Маркса, 3,1,3а,4,4а; ул. Большевистская,1-6,8,10; ул.К.Либкнехта, 7,9; ул.Чапаева, 4; пер.В.Швая, 2,3/6</t>
  </si>
  <si>
    <t>ул. Чехова, 2,3,4; ул.Большевистская, 13,15; ул.Школьная, 7,7а; ул.Свердлова, 14,16,18</t>
  </si>
  <si>
    <t>ул. К.Либкнехта, 17,19,21; ул. Калинина, 4</t>
  </si>
  <si>
    <t>ул. Шоссейная, 3,4,5,6,7,9; ул.Школьная, 14</t>
  </si>
  <si>
    <t>ул. Энтузиастов, 7,9,11,11а</t>
  </si>
  <si>
    <t>пр. Мира, 8,8а,10; ул.Большевистская, 23,25,27</t>
  </si>
  <si>
    <t>пр. Комсомольский, 9,11,13; ул. Культуры, 3,5; пр. Маяковского,12</t>
  </si>
  <si>
    <t>ул. Большевистская, 39,37,41,52,52а,54; пр. Комсомольский,5,7; пр.Маяковского, 6,8</t>
  </si>
  <si>
    <t>ул. Пушкина, 4,6,10,12,14; ул.Чапаева, 51,53</t>
  </si>
  <si>
    <t>ул. Пушкина, 18; ул. Чапаева, 44,46; ул. К.Маркса, 63</t>
  </si>
  <si>
    <t>ул. Чапаева, 61,37,43,45,47,55,57,57а,59,63,65,67</t>
  </si>
  <si>
    <t>ул. Пушкина, 16</t>
  </si>
  <si>
    <t>ул. Победы, 5,6; ул.Звездная,2,4; ул.Энтузиастов, 23,29</t>
  </si>
  <si>
    <t>ул. Энтузиастов, 20,24</t>
  </si>
  <si>
    <t>ул. Энтузиастов, 28,26,30,32; ул. Звездная, 8</t>
  </si>
  <si>
    <t>ул. К. Маркса, 89,87,91; ул. Звездная,10,10а,12</t>
  </si>
  <si>
    <t>ул.  10 Пятилетки, 3,5</t>
  </si>
  <si>
    <t>ул. П. Морозова, 5,6,8; ул.Фрунзе, 1,3,3а,4; ул. Ленина,11,13,12,14; ул. Горького, 2; ул. Крупской, 4а</t>
  </si>
  <si>
    <t>ул. Дзержинского, 2а,4а; ул. П.Морозова, 2,4; ул. Ленина, 5,6,7,8,9</t>
  </si>
  <si>
    <t>ул. Дзержинского, 5,7,8а,9,11; ул. П. Морозова, 1,3</t>
  </si>
  <si>
    <t>ул. Советская, 18,20,22,33,35; пер. Клубный, 1,9</t>
  </si>
  <si>
    <t>ул. Республиканская, 1; ул. Советская, 14,16а,31; ул. Садовая, 2</t>
  </si>
  <si>
    <t>ул. Спортивная, 10</t>
  </si>
  <si>
    <t>ул. Спортивная, ул.Заводская 2-я</t>
  </si>
  <si>
    <t>ул. Спортивная, ул. Заводская</t>
  </si>
  <si>
    <t>пер. Рабочий</t>
  </si>
  <si>
    <t>ул. Полевая, ул. Пионерская, ул. Краснокармейская, ул. Герцена, ул. Республиканская, ул. Садовая</t>
  </si>
  <si>
    <t>ул. Белинского, пер. Новоласьвинский, пер. Береговой, ул. Невская</t>
  </si>
  <si>
    <t>пер. Клубный, ул. Советская</t>
  </si>
  <si>
    <t>0</t>
  </si>
  <si>
    <t>ул. Киевская, ул. Славгородская, ул. Городская</t>
  </si>
  <si>
    <t>ул. Энергетиков</t>
  </si>
  <si>
    <t>ул. Энергетиков, пер. Энергетиков, ул. Новолинейная, ул. Кирова, ул. Линейная</t>
  </si>
  <si>
    <t>ул. Новолинейная, ул. Линейная, ул. Кирова, ул. Дзержинского, ул. Совхозная, пер. Совхозный, ул. Краснокамская, ул. Моховая</t>
  </si>
  <si>
    <t>ул. Крупская</t>
  </si>
  <si>
    <t>ул. Дзержинского, ул. Ленина</t>
  </si>
  <si>
    <t>ул. Моховая, ул. Крупской, ул. Ленина, пер. Лесной, ул. Лесная, ул. Фрунзе, ул. М. Горького, ул. Широкая, ул. Лермонтова, ул. Набережная, ул. Октябрьская, ул. 8 Марта, ул. П.Морозова, ул. Красноуральская, ул. Краснокамская, ул. Трудовая</t>
  </si>
  <si>
    <t>Верещагинская дистанция сигнализации, централизации и блокировки. Структурное подразделение Свердловской дирекции инфраструктуры - структурное подразделение Центрльной дирекции инфраструктуры - филиала ОАО "РЖД", ОГРН 1037739877295, г. Верещагино, ул. Железнодорожная, 4а</t>
  </si>
  <si>
    <t>ул. Линейная, 5</t>
  </si>
  <si>
    <t>ул. Линейная, 2,3,4</t>
  </si>
  <si>
    <t>ул. Кирпичная, 4,6,6а,8,8а,10,11,13; ул. Садовая 1-я, 1,3</t>
  </si>
  <si>
    <t>ул. Садовая 1-я, ул. Садовая 2-я,ул. Садовая 3-я</t>
  </si>
  <si>
    <t>г. Краснокамск, ул. Геофизиков, 14 / 58.081031 55.761999</t>
  </si>
  <si>
    <t>ПАО "Пермнефтегеофизика", ОГРН 1025900911233, г. Пермь, ул. Лодыгина, 34</t>
  </si>
  <si>
    <t>г. Краснокамск, мкр. Матросова, склад ВМ</t>
  </si>
  <si>
    <t>г. Краснокамск, мкр. Матросова / 58.087041 55.814538</t>
  </si>
  <si>
    <t>г. Краснокамск, ул. Промышленная, 2 / 58.077929 55.786943</t>
  </si>
  <si>
    <t>г. Краснокамск, ул. К. Маркса, 20 / 58.085511 55.751203</t>
  </si>
  <si>
    <t>г. Краснокамск, ул. Молодежная, 5 / 58.087466 55.765863</t>
  </si>
  <si>
    <t>СНТ "Коллективный сад "Виктория", ОГРН 1035901547483, Пермский край, п. Оверята, СНТ Виктория</t>
  </si>
  <si>
    <t>СНТ "Черемушки-2", участок № 1 кадастровый номер ЗУ 59:07:2380102:102 (дом сторожа)</t>
  </si>
  <si>
    <t>СНТ "Черемушки-2", ОГРН 1025901849379, Пермский край, территоиия сады Оверятского ГП</t>
  </si>
  <si>
    <t>г. Краснокамск, ул. Шоссейная, 29</t>
  </si>
  <si>
    <t>бетонная плита / 2,0</t>
  </si>
  <si>
    <t>площадка бетонированная / 24,0</t>
  </si>
  <si>
    <t>бетонные плиты / 24,0</t>
  </si>
  <si>
    <t xml:space="preserve">площадка бетонированная с металлическим ограждением из стальных труб с облицовкой профнастилом / 24,0
</t>
  </si>
  <si>
    <t xml:space="preserve">площадка бетонированная с металлическим ограждением из стальных труб с облицовкой профнастилом / 32,0
</t>
  </si>
  <si>
    <t>бетонная плита / 3,6</t>
  </si>
  <si>
    <t>бетонная плита / 12,0</t>
  </si>
  <si>
    <t>бетонная плита / 9,0</t>
  </si>
  <si>
    <t>шпалы / информация не предоставлена</t>
  </si>
  <si>
    <t>г. Краснокамск, ул. Шоссейная, д. 29 / 58.071109 55.774395; 58.071049 55.774353</t>
  </si>
  <si>
    <t>ООО "Краснокамский завод ЖБК", ОГРН 1125904001090, г. Пермь, ул. Василия Васильева, д. 3, офис 5</t>
  </si>
  <si>
    <t>ул. Энтузиастов, 1,2,3,5,7,9</t>
  </si>
  <si>
    <t>ул. Энтузиастов, 6-23</t>
  </si>
  <si>
    <t>ул. Молодежная, ул. Полевая</t>
  </si>
  <si>
    <t>ул. Молодежная, 1,2,3,4,5,6,8,10</t>
  </si>
  <si>
    <t>ул. Транспортная, 2</t>
  </si>
  <si>
    <t>ул. Транспортная, ул. Нефтяников, ул. Мира</t>
  </si>
  <si>
    <t>ул. Советская, 3</t>
  </si>
  <si>
    <t>ул. Механизаторов, ул. Первомайская, ул. Садовая, ул. Советская</t>
  </si>
  <si>
    <t>ул. Лесная, ул. Уральская, ул. Набережная, ул. Зеленая, ул. Северокамская</t>
  </si>
  <si>
    <t>ул. Советская, ул. Совхозная, ул. Дальняя, ул. Труда, ул. Турбина</t>
  </si>
  <si>
    <t>ул. Новостройки, ул. Октябрьская</t>
  </si>
  <si>
    <t>ул. Строителей, 1</t>
  </si>
  <si>
    <t>ул. Строителей, 1а</t>
  </si>
  <si>
    <t>ул. Строителей, 4,6; ул. Комсомольская, 1,2,3,4,5,7,8</t>
  </si>
  <si>
    <t>бетонированная площадка с бетонным ограждением / 24,0</t>
  </si>
  <si>
    <t>бетонированная площадка с бетонным ограждением / 18,0</t>
  </si>
  <si>
    <t>бетонированная площадка с бетонным ограждением / 4,2</t>
  </si>
  <si>
    <t>ул. Сосновая, 1,2,3,4,5,6</t>
  </si>
  <si>
    <t>основание твердое / 0,8</t>
  </si>
  <si>
    <t>ул. Северная, 2,4; ул. Новостройки, 1,2,3</t>
  </si>
  <si>
    <t>ул. Центральная, 1,2,3,4,5</t>
  </si>
  <si>
    <t>площадка бетонированная с металлическим ограждением из стальных труб с облицовкой профнастилом / 24,0</t>
  </si>
  <si>
    <t xml:space="preserve">площадка бетонированная с металлическим ограждением из стальных труб с облицовкой профнастилом / 18,0
</t>
  </si>
  <si>
    <t>с. Усть-Сыны</t>
  </si>
  <si>
    <t>ул. Молодежная, ул. Лесная, ул. Заводская, ул. Красная</t>
  </si>
  <si>
    <t>ул. Железнодорожная, ул. Красная</t>
  </si>
  <si>
    <t>ул. Железнодорожная, пер. Северный 1-й, пер. Северный 2-й, ул. Красная</t>
  </si>
  <si>
    <t>ул. Железнодорожная, ул. Первомайская, пер. Пионерский, пер. Клубный, ул. Молодежная, ул. Комсомольская</t>
  </si>
  <si>
    <t>ул. Железнодорожная, ул. Комсомольская, ул. Молодежная, ул. Строителей, пер. Фабричный, пер. Школьный, пер. Вокзальный</t>
  </si>
  <si>
    <t>ул. Центральная, 7,9,10,11,12</t>
  </si>
  <si>
    <t>ул. Совхозная, 2</t>
  </si>
  <si>
    <t>ул. Центральная, 10,12,13,14,16,18 и б/н</t>
  </si>
  <si>
    <t>бетонная плита / 5,25</t>
  </si>
  <si>
    <t>Общество с ограниченной ответствееностью "УЮТ-Сервис", ОГРН 1135916000153, г. Краснокамск, ул. Чапаева, 33Б</t>
  </si>
  <si>
    <t>Лицо, ответственное за содержание контейнерной площадки</t>
  </si>
  <si>
    <t>ООО "ТрансЭкоСервис", ОГРН 1125903004787, г. Пермь, ул. Братская, д. 135/3, офис 1</t>
  </si>
  <si>
    <t xml:space="preserve">ТСЖ "Пушкинское", ОГРН 1065900050600, Пермский край, г. Краснокамск, ул. Пушкина, д. 9
</t>
  </si>
  <si>
    <t>площадка бетонированная с металлическим ограждением из стальных труб с облицовкой профнастилом / 12,0</t>
  </si>
  <si>
    <t>ООО УК "КлассиК-А", ОГРН 1145958003531, г. Пермь, ул. Кировоградская, д. 65а</t>
  </si>
  <si>
    <t>ООО "ЧеИвГруп", ОГРН 1115916000551, Пермский край, с. Черная, ул. Северная, д. 6</t>
  </si>
  <si>
    <t>Инвентарный номер контейнеров / бункеров-накопителей</t>
  </si>
  <si>
    <t>ООО "ТрансЭкоСервис", ОГРН 1125903004787, г. Пермь, ул. Братская, д. 135/3, офис 2</t>
  </si>
  <si>
    <t>г. Краснокамск, ул. Владимира Кима, д. 3 / 58.067609 55.820674</t>
  </si>
  <si>
    <t>Общество с ограниченной ответственностью "Виктория", ОГРН 1125904018877, г.Пермь, ул. Героев Хасана, д. 100, офис 55</t>
  </si>
  <si>
    <t>гравийно-щебеночная отсыпка / 9,0</t>
  </si>
  <si>
    <t>Общество с ограниченной ответственностью "Виктория", ОГРН 1125904018877, г.Пермь, ул. Героев Хасана, д. 100, офис 55 (ЗУ 59:07:0011311:69)</t>
  </si>
  <si>
    <t>г. Краснокамск, ул. Владимира Кима, д.3 (лит. А, И, К, Е, Ж, П, М)</t>
  </si>
  <si>
    <t>16</t>
  </si>
  <si>
    <t>Администрация г.Краснокамска, ОГРН 1185958069648 (ЗУ 59:07:0010602:330)</t>
  </si>
  <si>
    <t>г. Краснокамск, пер. Гознаковский, 3 / 58,079406 55,731724</t>
  </si>
  <si>
    <t>г. Краснокамск, ул. Трубная, д. 6а / 58.093384 55.791032</t>
  </si>
  <si>
    <t>Общество с ограниченной ответственностью "Горизонталь", ОГРН 1165958088152, г.Краснокамск, ул. Трубная, д. 6а (ЗУ 59:07:0011004:309)</t>
  </si>
  <si>
    <t>бетонная плита / 16,0</t>
  </si>
  <si>
    <t>Общество с ограниченной ответственностью "Горизонталь", ОГРН 1165958088152, г.Краснокамск, ул. Трубная, д. 6а</t>
  </si>
  <si>
    <t>г. Краснокамск, ул. Трубная, 6а</t>
  </si>
  <si>
    <t xml:space="preserve">ООО "РЭП", ОГРН 1045901553367, г. Краснокамск, ул. Шоссейная, 9, офис 62 (по договору управления МКД) </t>
  </si>
  <si>
    <t>г. Краснокамск, ул. Орджоникидзе, 4Б / 58,080174 55,744666</t>
  </si>
  <si>
    <t>г. Краснокамск, ул. К. Либкнехта, 17 / 58,076864 55,737933</t>
  </si>
  <si>
    <t xml:space="preserve">г. Краснокамск, ул. 10 Пятилетки, 2 / 58.089148 55.773497
</t>
  </si>
  <si>
    <t>Администрация г.Краснокамска, ОГРН 1185958069648, ЗУ 59:07:0011008:20</t>
  </si>
  <si>
    <t>ул. 10 Пятилетки, 2,2а</t>
  </si>
  <si>
    <t>бетонная с ограждением из профнастила / 24,0</t>
  </si>
  <si>
    <t>г. Краснокамск, пер. Восточный / 58,062165 55,823583</t>
  </si>
  <si>
    <t>г. Краснокамск, ул. Моховая / 58,066672 55,803094</t>
  </si>
  <si>
    <t>г. Краснокамск, ул. Спортивная, 17 / 58,072040 55,791802</t>
  </si>
  <si>
    <t>ул.Трактовая , ул.Подгорная</t>
  </si>
  <si>
    <t>ул.Железнодорожная, 4, ул.Трудовая, 3</t>
  </si>
  <si>
    <t>пер.Зеленый, пер.Полевой, ул.Полевая, пер.Новый, пер.Песчаный, ул. Трактовая, ул.Трактовая 2-я</t>
  </si>
  <si>
    <t>ул.Лесная, ул.Звездная, пер.Березовый, ул.Молодежная, ул.Рябиновая, ул.Заречная</t>
  </si>
  <si>
    <t>ООО "УК "Уютный Дом ДТА", ОГРН 1115907001374, г. Пермь, ул.Рабкоровская, 23</t>
  </si>
  <si>
    <t>ЗУ 59:07:0010610:4</t>
  </si>
  <si>
    <t>ЗУ 59:07:0011701:34</t>
  </si>
  <si>
    <t>ЗУ 59:07:0010801:639</t>
  </si>
  <si>
    <t>ТСН "Вишня № 1", кадастровый квартал 59:07:2370304</t>
  </si>
  <si>
    <t>деревянный настил (шпалы) / 3,0</t>
  </si>
  <si>
    <t>ТСН "Вишня № 1", ОГРН 1025901849093, Пермский край, Краснокамский район, пос. Оверята</t>
  </si>
  <si>
    <t>ЗУ госуд.собств-сть не разграничена, Кадастровый квартал 59:07:0010102</t>
  </si>
  <si>
    <t>Частная собственность, кадастровый номер ЗУ 59:07:0290114:14</t>
  </si>
  <si>
    <t>площадка бетонированная / 6,0</t>
  </si>
  <si>
    <t>с. Стряпунята, ул.Советская, д.2</t>
  </si>
  <si>
    <t>Общество с ограниченной ответственностью "Агроторг", ОГРН 1027809237796, индекс 191025, г.Санкт Петербург, Невский проспект, 90/92</t>
  </si>
  <si>
    <t>59:07:0020132:1</t>
  </si>
  <si>
    <t>Муниципальное автономное общебразовательное учреждение "Средняя общеобразовательная школа № 3", ОГРН 1025901844825, Пермский край, г.Краснокамск, ул. Комарова, д.7</t>
  </si>
  <si>
    <t>асфальт / 50,0</t>
  </si>
  <si>
    <t>г. Краснокамск, ул. Комарова, 7</t>
  </si>
  <si>
    <t xml:space="preserve">ЗУ госуд.собств-сть не разграничена, Кадастровый квартал 59:07: 0020134 </t>
  </si>
  <si>
    <t>Строительство/реконструкция/планы</t>
  </si>
  <si>
    <t>Планы</t>
  </si>
  <si>
    <t>СНТ</t>
  </si>
  <si>
    <t>ул. Тепличная, ул. Конец-Борская</t>
  </si>
  <si>
    <t>бетонная плита / 20,0</t>
  </si>
  <si>
    <t>Тетерин Константин Геннадьевич, ОГРНИП 304591636500331, Пермский край, г. Краснокамск, ул. Комарова, д.1, кв. 44</t>
  </si>
  <si>
    <t>с. Черная, ул. Центральная</t>
  </si>
  <si>
    <t>ЗУ госуд.собств-сть не разграничена, кад.квартал 59:07:0210101</t>
  </si>
  <si>
    <t>ЗУ госуд.собств-сть не разграничена, кадастровый квартал 59:07:2370104</t>
  </si>
  <si>
    <t>94</t>
  </si>
  <si>
    <t>ул. Заречная, ул. Луговая, ул. Нагорная, ул. Зеленая, ул. Трактовая, ул. Серебряная, ул. Золотая, ул. Запрудная</t>
  </si>
  <si>
    <t>ЗУ госуд.собств-сть не разграничена, Кадастровый квартал 59:07: 2450101</t>
  </si>
  <si>
    <t>12</t>
  </si>
  <si>
    <t>Кадастровый номер ЗУ 59:07:0010801:1053</t>
  </si>
  <si>
    <t>асфальт / 14,0</t>
  </si>
  <si>
    <t>Публичное акционерное общество "Краснокамский завод металлических сеток", ОГРН 1025901844132,г. Краснокамск, ул. Шоссейная, 23</t>
  </si>
  <si>
    <t>г. Краснокамск, ул. Шоссейная, 23</t>
  </si>
  <si>
    <t>бетонная плита / 4,5</t>
  </si>
  <si>
    <t>Общество с ограниченной ответственностью "Газпромнефть-Центр", 1027739602824, г. Екатеринбург, Сибирский тракт, 12, стр. 1</t>
  </si>
  <si>
    <t>п. Оверята: ул. Уральская, ул. Солнечная, ул. Восточная, ул. Горная, ул. Кольцевая; д. Алешино, ул. Кедровая</t>
  </si>
  <si>
    <t>51</t>
  </si>
  <si>
    <t>ул. Полевая, ул. Новоселов, ул. Луговая</t>
  </si>
  <si>
    <t xml:space="preserve">ул. Полевая </t>
  </si>
  <si>
    <t>ул. Шоссейная, 1,2,3,4</t>
  </si>
  <si>
    <t>ул. Центральная, ул. Марли, ул. Культуры</t>
  </si>
  <si>
    <t>ул. Центральная, 4,6,8; ул. Красногорская, 1 (часть),2</t>
  </si>
  <si>
    <t>ул. 9-ой Пятилетки, 5,7,7а,14,20</t>
  </si>
  <si>
    <t>ул. Коммунистическая, 44</t>
  </si>
  <si>
    <t>ПАО "Т Плюс" филиала "Пермский" Закамская ТЭЦ-5, ОГРН 1056315070350, 617060, Пермский край, г.Краснокамск, ул. Коммунистическая, 44</t>
  </si>
  <si>
    <t>бетонная плита</t>
  </si>
  <si>
    <t>Кадастровый номер ЗУ 59:07:0010902:262</t>
  </si>
  <si>
    <t xml:space="preserve"> асфальт </t>
  </si>
  <si>
    <t xml:space="preserve">асфальт </t>
  </si>
  <si>
    <t>Норматив накопления на 1 человека куб.м./год (ИЖС)</t>
  </si>
  <si>
    <t>Норматив накопления в зависимости от численности куб.м./год (ИЖС)</t>
  </si>
  <si>
    <t>Норматив накопления в зависимости от численности куб.м./мес (ИЖС)</t>
  </si>
  <si>
    <t>Расчетное количество объема контейнеров для накопления ТКО, куб.м. (ИЖС)</t>
  </si>
  <si>
    <t>Территориальное деление</t>
  </si>
  <si>
    <t>ССП</t>
  </si>
  <si>
    <t>МСП</t>
  </si>
  <si>
    <t>ЗУ госуд.собств-сть не разграничена: 59:07:0040101</t>
  </si>
  <si>
    <t>ул. Дорожная, ул. Железнодорожная</t>
  </si>
  <si>
    <t>КГП</t>
  </si>
  <si>
    <t>Кадастровый номер ЗУ 59:07:0010801:1070</t>
  </si>
  <si>
    <t>г. Краснокамск, ул. Шоссейная, 11</t>
  </si>
  <si>
    <t>бетонная плита с ограждением с 3-х сторон / 8,0</t>
  </si>
  <si>
    <t>ул. Заводская, 1</t>
  </si>
  <si>
    <t>ОГП</t>
  </si>
  <si>
    <t>Акционерное общество "Пермский свинокомплекс", ОГРН 1095916000290, Пермский край, г. Краснокамск, пос. Майский, ул. Центральная, 3</t>
  </si>
  <si>
    <t>Кадастровый номер ЗУ 59:07:2500101:41</t>
  </si>
  <si>
    <t>бетонная плита / 0,5</t>
  </si>
  <si>
    <t>АБК промплощадки АО "Пермский свинокомплекс" (справа от а/д "Майский-Фадеята" селекционно-гибридный центр (свинарник)</t>
  </si>
  <si>
    <t xml:space="preserve">асфальт / 0,5 </t>
  </si>
  <si>
    <t>АБК промплощадки АО "Пермский свинокомплекс" (с правой стороны а/д "Майский-Фадеята" (комбикормовый завод)</t>
  </si>
  <si>
    <t>Кадастровый номер ЗУ 59:07:2500101:426</t>
  </si>
  <si>
    <t>АБК промплощадки АО "Пермский свинокомплекс" (с правой стороны а/д "Майский-Фадеята" (Свиноводческий комплекс № 1 + Очистка)</t>
  </si>
  <si>
    <t>бетонные плиты / 1,0</t>
  </si>
  <si>
    <t>бетонная плита с ограждением с 3-х сторон / 7,0</t>
  </si>
  <si>
    <t>Кадастровый номер ЗУ 59:07:0010101:1</t>
  </si>
  <si>
    <t>Кадастровый номер ЗУ 59:07:0011211:16</t>
  </si>
  <si>
    <t>Кадастровый номер ЗУ 59:07:0011309:14</t>
  </si>
  <si>
    <t>г. Краснокамск, ул. Матросова, 14Б</t>
  </si>
  <si>
    <t>г. Краснокамск, ул. Гагарина, 152 здание АБК</t>
  </si>
  <si>
    <t>г. Краснокамск, ул. Павлика Морозова, 4а</t>
  </si>
  <si>
    <t>Муниципальное бюджетное общеобразовательное учреждение "Средняя общеобразовательная школа № 6" г.Краснокамска, ОГРН 1025901846850, Пермский край, г. Краснокамск, ул. Матросова, 14Б</t>
  </si>
  <si>
    <t>Муниципальное бюджетное общеобразовательное учреждение "Средняя общеобразовательная школа № 6" г.Краснокамска СП "Детский сад № 47", ОГРН 1025901846850, Пермский край, г. Краснокамск, ул. Матросова, 14Б</t>
  </si>
  <si>
    <t>Кол-во жителей, учащихся и т.п. на территории закрепеленной за контейнерной площадкой, чел. / площадь здния, кв.м.</t>
  </si>
  <si>
    <t>ЗУ 59:07:0180203:204</t>
  </si>
  <si>
    <t>Кадастровый номер ЗУ 59:07:2500101:11</t>
  </si>
  <si>
    <t>160</t>
  </si>
  <si>
    <t>ЗУ госуд.собств-сть не разграничена Кад.квартал 59:07:0730201</t>
  </si>
  <si>
    <t>ул. Орджоникидзе, 4б,4а; ул. Большевистская, 17,19; ул. Чехова, 1</t>
  </si>
  <si>
    <t xml:space="preserve"> необходимо строительство на 2020 год в план с отсеком под КГМ</t>
  </si>
  <si>
    <t>Строительство 2019</t>
  </si>
  <si>
    <t>ЗУ госуд.собств-сть не разграничена, кад.квартал 59:07:0180111</t>
  </si>
  <si>
    <t>211, 212</t>
  </si>
  <si>
    <t>209, 210</t>
  </si>
  <si>
    <t>207, 208</t>
  </si>
  <si>
    <t>площадка бетонированная с металлическим ограждением из стальных труб с облицовкой профнастилом / 6,0</t>
  </si>
  <si>
    <t>ул. Металлистов, 19</t>
  </si>
  <si>
    <t>S мкд=2379,7*0,079=188/12=15,7 м3/мес (57 чел)</t>
  </si>
  <si>
    <t>S мкд=2917,2*0,079=230,5/12=19,2 м3/мес (131 чел)</t>
  </si>
  <si>
    <t>S мкд=194,8*0,079=15,4/12=1,3 м3/мес (17 чел)</t>
  </si>
  <si>
    <t>Кадастровый номер ЗУ 59:07:0010605:55</t>
  </si>
  <si>
    <t>асфальт / 4,0</t>
  </si>
  <si>
    <t>Общество с ограниченной ответственностью "Лотос", ОГРН 1115916000199, Пермский край, г. Краснокамск, пр. Маяковского, д. 3</t>
  </si>
  <si>
    <t>г. Краснокамск, пр. Маяковского, 3</t>
  </si>
  <si>
    <t>ул. Трактовая, ул. Железнодорожная, ул. Центральная, ул. Зеленая; ж/д будка 1406-й км</t>
  </si>
  <si>
    <t>ул.Подгорная, ул.Трактовая, ул.Подлесная, ул.Трудовая, пер.Ключевой; ж/д будка 1401-й км</t>
  </si>
  <si>
    <t>ЗУ госуд.собств-сть не разграничена, кадастровый квартал 59:07:0020108</t>
  </si>
  <si>
    <t>ул. Зеленая, ул. Совхозная, ул. Новостройки, ул. Трактовая, ул. Новая, пер. Строителей, ул. Луговая, ул. Полевая</t>
  </si>
  <si>
    <t>S=508,8*0,079=40,2/12=3,3м3/мес (36 чел.)</t>
  </si>
  <si>
    <t>ЗУ госуд.собств-сть не разграничена, кад. Квартал 59:07:00730201</t>
  </si>
  <si>
    <t>S=833,3*0,079=65,8/12=5,5 м3/мес. (16 чел.)</t>
  </si>
  <si>
    <t>S=5810,5*0,079=459,0/12=38,3 м3/мес. (255 чел.)</t>
  </si>
  <si>
    <t>ЗУ госуд.собств-сть не разграничена кад. квартал 59:07:0580128</t>
  </si>
  <si>
    <t>ЗУ госуд.собств-сть не разграничена кад. квартал 59:07:0580106</t>
  </si>
  <si>
    <t>Норматив накопления при ежедневном вывозе, куб.м. (ИЖС)</t>
  </si>
  <si>
    <t>ЗУ госуд.собств-сть не разграничена, кад.квартал 59:07:0020112</t>
  </si>
  <si>
    <t>г. Краснокамск, ул. К. Маркса, 47 / 58,085829 55,755113</t>
  </si>
  <si>
    <t>Кадастровый номер ЗУ 59:07:</t>
  </si>
  <si>
    <t>бетонная плита с ограждением / 9,8</t>
  </si>
  <si>
    <t>МАДОУ "Детский сад № 35", ОГРН 1025901844253, Пермский край, г. Краснокамск, пр. Комсомольский, 7а</t>
  </si>
  <si>
    <t>г. Краснокамск, пр. Комсомольский, 7а</t>
  </si>
  <si>
    <t>S=1946,9 м2</t>
  </si>
  <si>
    <t>Р</t>
  </si>
  <si>
    <t xml:space="preserve">С </t>
  </si>
  <si>
    <t>С</t>
  </si>
  <si>
    <t>г.Краснокамск, ул.Геофизиков, 19 / 58,078029 55,764462</t>
  </si>
  <si>
    <t>Кадастровый номер ЗУ 59:07:0010901:108</t>
  </si>
  <si>
    <t>ИП Кузнецов Роман Евгеньевич, ОГРНИП 319595800023588, г. Пермь, ул. Ласьвинская, 37</t>
  </si>
  <si>
    <t>г. Краснокамск, ул. Геофизиков, 19</t>
  </si>
  <si>
    <t>пав. №1 S=1621,1 м2; пав. №2 S=1003,0 м2</t>
  </si>
  <si>
    <t>Кадастровый номер ЗУ 59:07:0030103:1</t>
  </si>
  <si>
    <t xml:space="preserve">Санаторий-профилакторий "Атлант", п. Майский, ул. Запрудная, д. 1 </t>
  </si>
  <si>
    <t>Кадастровый номер ЗУ 59:07:0030103:5</t>
  </si>
  <si>
    <t>асфальт / 1,0</t>
  </si>
  <si>
    <t>ТЦ, п. Майский, ул. Красногорская, д. 3</t>
  </si>
  <si>
    <t>Акционерное общество "Пермский свинокомплекс", ОГРН 1095916000290, Пермский край, г. Краснокамск, пос. Майский, ул. Центральная, 4</t>
  </si>
  <si>
    <t>Кадастровый номер ЗУ 59:07:0010608:78</t>
  </si>
  <si>
    <t>Краснокамское акционерное общество промышленного железнодорожного транспорта, ОГРН 1025901843703, Пермский край, г. Краснокамск, ул. Геофизиков, д. 2</t>
  </si>
  <si>
    <t>г. Краснокамск, ул. Геофизиков, д. 2</t>
  </si>
  <si>
    <t>Кадастровый номер ЗУ 59:07:0010801:1052</t>
  </si>
  <si>
    <t>г. Краснокамск, ул. Шоссейная, 17</t>
  </si>
  <si>
    <t>2148,2149,2130</t>
  </si>
  <si>
    <t>2129,2133,2134</t>
  </si>
  <si>
    <t>2144,2143,2135</t>
  </si>
  <si>
    <t>2178,2179,2170</t>
  </si>
  <si>
    <t>2149,2150,2151</t>
  </si>
  <si>
    <t>2156,2166,2167</t>
  </si>
  <si>
    <t>Кадастровый номер ЗУ 59:07:0000000:5816</t>
  </si>
  <si>
    <t>асфальтированная с ограждением / 32,0</t>
  </si>
  <si>
    <t>д. Никитино (Мысы), ул. Шоссейная, д. 1</t>
  </si>
  <si>
    <t>СНТ "Металлоткач", ОГРН 1125916001023, Пермский край, д. Кабанов Мыс</t>
  </si>
  <si>
    <t>Садовое некоммерческое товарищество "Металлоткач", ОГРН 1125916001023, Пермский край, д. Кабанов Мыс</t>
  </si>
  <si>
    <t>Кадастровый номер ЗУ 59:07:0010801:1042</t>
  </si>
  <si>
    <t>бетонная плита / 8,0</t>
  </si>
  <si>
    <t>Кадастровый номер ЗУ 59:07:0020129:1095</t>
  </si>
  <si>
    <t>железобетонные плиты / 16,0</t>
  </si>
  <si>
    <t>Хохряков Андрей Сергеевич, ИНН 591601517685, г. Краснокамск, ул. Полевая, д. 7</t>
  </si>
  <si>
    <t>Кадастровый номер ЗУ 59:07:0010507:2</t>
  </si>
  <si>
    <t>бетонная площадка с ограждением / 2,65</t>
  </si>
  <si>
    <t>г. Краснокамск, ул. Карла Маркса, д. 5</t>
  </si>
  <si>
    <t>Кадастровый номер ЗУ 59:07:0010502:2</t>
  </si>
  <si>
    <t>г. Краснокамск, ул. Чапаева, д. 3</t>
  </si>
  <si>
    <t>Муниципальное бюджетное дошкольное образовательное учреждение "Детский сад № 15" комбинированного вида, СП "Деткский сад № 48", ОГРН 1025901847905, Пермский край, г. Краснокамск, ул. Чапаева, д. 3</t>
  </si>
  <si>
    <t>г. Краснокамск, ул. Карла Маркса, д. 2а</t>
  </si>
  <si>
    <t>Кадастровый номер ЗУ 59:07:0010504:8</t>
  </si>
  <si>
    <t>Муниципальное бюджетное дошкольное образовательное учреждение "Детский сад № 15" комбинированного вида, СП "Деткский сад № 5", ОГРН 1025901847905, Пермский край, г. Краснокамск, ул. Карла Маркса, д. 2а</t>
  </si>
  <si>
    <t>Муниципальное бюджетное дошкольное образовательное учреждение "Детский сад № 15" комбинированного вида, ОГРН 1025901847905, Пермский край, г. Краснокамск, ул. Карла Маркса, д. 5</t>
  </si>
  <si>
    <t>Кадастровый номер ЗУ 59:07:0011006:8</t>
  </si>
  <si>
    <t>асфальтовое покрытие / 35,0</t>
  </si>
  <si>
    <t>г. Краснокамск, ул. Энтузиастов, 15</t>
  </si>
  <si>
    <t>Муниципальное автономное общеобразовательное учреждение "Гимназия № 5", ОГРН 1025901846794, Пермский край, г. Краснокамск, ул. Энтузиастов, 15</t>
  </si>
  <si>
    <t>Кадастровый номер ЗУ 59:07:0010801:1065</t>
  </si>
  <si>
    <t>бетонная плита / 6,0</t>
  </si>
  <si>
    <t>Суворин  Леонид Владиславович, ОГРНИП 304590224600059, г. Пермь, ул. Старцева, д. 120</t>
  </si>
  <si>
    <t>3</t>
  </si>
  <si>
    <t>Кадастровый номер ЗУ 59:07:0010601:3</t>
  </si>
  <si>
    <t>бетонная плита / 6,25</t>
  </si>
  <si>
    <t>Муниципальное автономное общеобразовательное учреждение "Средняя общеобразовательная школа № 10", ОГРН 1025901848070, Пермский край, г. Краснокамск, ул. Чапаева, 35</t>
  </si>
  <si>
    <t>г. Краснокамск, ул. Чапаева, 35</t>
  </si>
  <si>
    <t>Кадастровый номер ЗУ 59:07:0010318:28</t>
  </si>
  <si>
    <t>бетонная площадка / 2,65</t>
  </si>
  <si>
    <t>Муниципальное автономное дошкольное образовательное учреждение "Детский сад № 49", ОГРН 1025901847597, Пермский край, г. Краснокамск, Рождественский проезд, д. 5</t>
  </si>
  <si>
    <t>г. Краснокамск, Рождественский проезд, д. 5</t>
  </si>
  <si>
    <t>Кадастровый номер ЗУ 59:07:0010513:5</t>
  </si>
  <si>
    <t>бетонная плита / 7,5</t>
  </si>
  <si>
    <t>Муниципальное автономное дошкольное образовательное учреждение "Детский сад № 24", ОГРН 1035901549045, Пермский край, г. Краснокамск, ул. Большевистская, д. 21</t>
  </si>
  <si>
    <t>г. Краснокамск, ул. Большевистская, д. 21</t>
  </si>
  <si>
    <t>Кадастровый номер ЗУ 59:07:0010503:5</t>
  </si>
  <si>
    <t>г. Краснокамск, ул. Карла Либкнехта, д. 2а</t>
  </si>
  <si>
    <t>Кадастровый номер ЗУ 59:07:0010504:2</t>
  </si>
  <si>
    <t>бетонированная площадка / 3,9</t>
  </si>
  <si>
    <t>Муниципальное бюджетное общеобразовательное учреждение "Средняя общеобразовательная школа № 8", ОГРН 1025901847630, Пермский край, г. Краснокамск, ул. Карла Маркса, д. 4Б</t>
  </si>
  <si>
    <t>г. Краснокамск, ул. Карла Маркса, д. 4Б</t>
  </si>
  <si>
    <t>Администрация Краснокамского городского округа, ОГРН 1185958069648, Пермский край, г. Краснокамск, пр. Маяковского, 11</t>
  </si>
  <si>
    <t>Кадастровый квартал 59:07:0210101</t>
  </si>
  <si>
    <t>Кадастровый квартал 59:07:2370104</t>
  </si>
  <si>
    <t>ул. Благодатная, ул. Центральная, ул. Железнодорожная</t>
  </si>
  <si>
    <t>Кадастровый номер ЗУ 59:07:0030103:4</t>
  </si>
  <si>
    <t>бетонная плита с ограждением / 4,0</t>
  </si>
  <si>
    <t>Муниципальное бюджетное общеобразовательное учреждение "Майская средняя общеобразовательная школа", ОГРН 1025901846090, Пермский край, п. Майский, ул. Центральная, д. 5</t>
  </si>
  <si>
    <t>п. Майский, ул. Центральная, д. 5</t>
  </si>
  <si>
    <t>Кадастровый номер ЗУ 59:07:0020124:1</t>
  </si>
  <si>
    <t>Муниципальное бюджетное общеобразовательное учреждение "Средняя общеобразовательная школа № 11" г. Краснокамска, ОГРН 1025901847817, Пермский край, п. Оверята, ул. Строителей, д. 5</t>
  </si>
  <si>
    <t>г. Краснокамск, ул. Коммунистическая, д. 16</t>
  </si>
  <si>
    <t>Кадастровый номер ЗУ 59:07:0010613:3</t>
  </si>
  <si>
    <t>бетонная плита / 10,0</t>
  </si>
  <si>
    <t>Муниципальное автономное общеобразовательное учреждение "Средняя общеобразовательная школа № 2" г. Краснокамска, ОГРН 1025901844650, Пермский край, г. Краснокамск, ул. Коммунистическая, д. 16</t>
  </si>
  <si>
    <t>г. Краснокамск, ул. Энтузиастов, д. 9А</t>
  </si>
  <si>
    <t>Кадастровый номер ЗУ 59:07:0011007:30</t>
  </si>
  <si>
    <t>асфальт / 20,0</t>
  </si>
  <si>
    <t>Муниципальное автономное общеобразовательное учреждение "Гимназия № 5", ОГРН 1025901846794, Пермский край, г. Краснокамск, ул. Энтузиастов, д. 15</t>
  </si>
  <si>
    <t>Муниципальное автономное общеобразовательное учреждение "Гимназия № 5" СП "Детский сад № 39", ОГРН 1025901846794, Пермский край, г. Краснокамск, ул. Энтузиастов, д. 15</t>
  </si>
  <si>
    <t>с. Черная, ул. Совхозная, 5А</t>
  </si>
  <si>
    <t>Кадастровый номер ЗУ 59:07:0580104:13</t>
  </si>
  <si>
    <t>бетонная плита с ограждением / 3,0</t>
  </si>
  <si>
    <t>Муниципальное бюджетное общеобразовательное учреждение "Черновская средняя общеобразовательная школа", ОГРН 1025901844616, Пермский край, Краснокамский ГО, с. Черная, ул. Совхозная, д. 5А</t>
  </si>
  <si>
    <t>с. Черная, ул. Северная, д. 1</t>
  </si>
  <si>
    <t>Муниципальное бюджетное общеобразовательное учреждение "Черновская средняя общеобразовательная школа" СП "Детский сад № 20", ОГРН 1025901844616, Пермский край, Краснокамский ГО, с. Черная, ул. Совхозная, д. 5А</t>
  </si>
  <si>
    <t>Кадастровый номер ЗУ 59:07:0580125:4</t>
  </si>
  <si>
    <t>асфальтированная площадка с ограждением / 20,0</t>
  </si>
  <si>
    <t>п. Майский, ул. Южная, 10</t>
  </si>
  <si>
    <t>Кадастровый номер ЗУ 59:07:0030102:67</t>
  </si>
  <si>
    <t>асфальтированная площадка / 3,0</t>
  </si>
  <si>
    <t>Муниципальное бюджетное дошкольное образовательное учреждение "Детский сад № 40", ОГРН 1145958023540, Пермский край, Краснокамский ГО, п Майский, ул. Южная, д. 10</t>
  </si>
  <si>
    <t>г. Краснокамск, ул. Чапаева, д. 49</t>
  </si>
  <si>
    <t>Кадастровый номер ЗУ 59:07:0010611:16</t>
  </si>
  <si>
    <t>Муниципальное автономное общеобразовательное учреждение "Средняя общеобразовательная школа № 10" СП "Детский сад № 28", ОГРН 1025901848070, Пермский край, г. Краснокамск, ул. Чапаева, 35</t>
  </si>
  <si>
    <t>Кадастровый номер ЗУ 59:07:0010801:1</t>
  </si>
  <si>
    <t>бетонная плита с ограждением / 27,0</t>
  </si>
  <si>
    <t>Краснокамская бумажная фабрика - филиал акционерного общества "Гознак", ОГРН 1167847225281, Пермский край, г. Краснокамск, ул. Школьная, д. 13</t>
  </si>
  <si>
    <t>ул. Школьная, д. 13 (место накопления ТКО № 12)</t>
  </si>
  <si>
    <t>асфальтированная площадка / 30,0</t>
  </si>
  <si>
    <t>ул. Школьная, д. 13 (место накопления ТКО № 10)</t>
  </si>
  <si>
    <t>Кадастровый номер ЗУ 59:07:0030102:68</t>
  </si>
  <si>
    <t>п. Майский, ул. Центральная, д. 7</t>
  </si>
  <si>
    <t>Кадастровый номер ЗУ 59:07:0010603:459</t>
  </si>
  <si>
    <t>бетонная плита с ограждением / 18,0</t>
  </si>
  <si>
    <t>Муниципальное автономное дошкольное образовательное учреждение "Детский сад № 1", ОГРН 1155958069740, Пермский край, г. Краснокамск, ул. Чапаева, 40</t>
  </si>
  <si>
    <t>г. Краснокамск, ул. Чапаева, д. 40</t>
  </si>
  <si>
    <t>Кадастровый номер ЗУ 59:07:0010501:1</t>
  </si>
  <si>
    <t>бетонная плита / 7,0</t>
  </si>
  <si>
    <t>Муниципальное автономное дошкольное образовательное учреждение "Детский сад № 1" СП "Детский сад № 31", ОГРН 1155958069740, Пермский край, г. Краснокамск, ул. Чапаева, 29а</t>
  </si>
  <si>
    <t>г. Краснокамск, ул. Чапаева, д. 29а</t>
  </si>
  <si>
    <t>Кадастровый номер ЗУ 59:07:0010505:1</t>
  </si>
  <si>
    <t>асфальтированная площадка / 6,0</t>
  </si>
  <si>
    <t>Муниципальное автономное общеобразовательное учреждение "Средняя общеобразовательная школа № 1", ОГРН 1025901844385, Пермский край, г. Краснокамск, ул. Карла Маркса, д. 4д</t>
  </si>
  <si>
    <t>г. Краснокамск, ул. Карла Маркса, д. 4д</t>
  </si>
  <si>
    <t>Кадастровый номер ЗУ 59:07:0180207:1</t>
  </si>
  <si>
    <t>Вавилин Алексей Павлович, ИНН 590800318354, г. Пермь, ул. Охотников, д. 18, кв. 10</t>
  </si>
  <si>
    <t>с. Мысы, ул. Пролетарская, д. 46</t>
  </si>
  <si>
    <t>Кадастровый номер ЗУ 59:07:0180110:125</t>
  </si>
  <si>
    <t>бетонированная площадка / 4,0</t>
  </si>
  <si>
    <t>Муниципальное бюджетное общеобразовательное учреждение "Мысовская средняя общеобразовательная школа", ОГРН 1025901847003, Перский край, Краснокамский ГО, с. Мысы, ул. Школьная, д. 11</t>
  </si>
  <si>
    <t>с. Мысы, ул. Школьная, д. 11</t>
  </si>
  <si>
    <t>Кадастровый номер ЗУ 59:07:0180204:1</t>
  </si>
  <si>
    <t>асфальтированная площадка / 10,0</t>
  </si>
  <si>
    <t>с. Мысы, ул. Солнечная, д. 2</t>
  </si>
  <si>
    <t>Муниципальное бюджетное общеобразовательное учреждение "Мысовская средняя общеобразовательная школа" СП "Детский сад № 37", ОГРН 1025901847003, Перский край, Краснокамский ГО, с. Мысы, ул. Солнечная, д. 2</t>
  </si>
  <si>
    <t>Кадастровый номер ЗУ 59:07:0011606:61</t>
  </si>
  <si>
    <t>бетонированная площадка с ограждением / 7,5</t>
  </si>
  <si>
    <t>Муниципальное бюджетное общеобразовательное учреждение "Основная общеобразовательная школа № 7" г. Краснокамска, ОГРН 1025901846915, Пермский край, г. Краснокамск, ул. Советская, д. 29</t>
  </si>
  <si>
    <t>г. Краснокамск, ул. Советская, 29 (МБОУ "ООШ № 7"), ул. Садовая, д. 6 (МБОУ "ООШ № 7" СП "Детский сад № 46")</t>
  </si>
  <si>
    <t>Кадастровый номер ЗУ 59:07:0470107:1</t>
  </si>
  <si>
    <t>с. Усть-Сыны, ул. Октябрьская, д. 2</t>
  </si>
  <si>
    <t>Муниципальное бюджетное дошкольное образовательное учреждение "Детский сад № 7" СП "Детский сад № 30", ОГРН 1145958023507, Пермский край, Краснокамский ГО, с. Усть-Сыны, ул. Октябрьская, д. 2</t>
  </si>
  <si>
    <t>Муниципальное бюджетное дошкольное образовательное учреждение "Детский сад № 7", ОГРН 1145958023507, Пермский край, Краснокамский ГО, п. Майский, ул. Центральная, д. 7</t>
  </si>
  <si>
    <t>Кадастровый номер ЗУ 59:07:0010608:75</t>
  </si>
  <si>
    <t>Общество с ограниченной ответственностью "Старт", ОГРН 1095904007957, Пермский край, г. Краснокамск, пр-т Комсомольский, д. 21</t>
  </si>
  <si>
    <t>г. Краснокамск, пр-т Комсомольский, д. 21</t>
  </si>
  <si>
    <t>Кадастровый номер ЗУ 59:07:0010513:31</t>
  </si>
  <si>
    <t>бетонная площадка с ограждением / 3,75</t>
  </si>
  <si>
    <t>бетонная плита с ограждением / 9,0</t>
  </si>
  <si>
    <t>Муниципальное автономное дошкольное образовательное учреждение "Детский сад № 42", ОГРН 1035901549012, Пермский край, г. Краснокамск, ул. Орджоникидзе, д. 2А</t>
  </si>
  <si>
    <t>г. Краснокамск, ул. Орджоникидзе, д. 2А</t>
  </si>
  <si>
    <t>Кадастровый номер ЗУ 59:07:0010508:51</t>
  </si>
  <si>
    <t>бетонная площадка с ограждением / 2,25</t>
  </si>
  <si>
    <t>Муниципальное автономное дошкольное образовательное учреждение "Детский сад № 42" СП "Детский сад № 17", ОГРН 1035901549012, Пермский край, . Краснокамск, ул. Большевистская, д. 34А</t>
  </si>
  <si>
    <t>г. Краснокамск, ул. Большевистская, д. 34А</t>
  </si>
  <si>
    <t>Кадастровый номер ЗУ 59:07:0010517:16</t>
  </si>
  <si>
    <t>асфальтированная площадка с ограждением / 3,75</t>
  </si>
  <si>
    <t>Муниципальное автономное дошкольное образовательное учреждение "Детский сад № 42" СП "Детский сад № 38", ОГРН 1035901549012, Пермский край, г. Краснокамск, ул. Калинина, д. 10А</t>
  </si>
  <si>
    <t>г. Краснокамск, ул. Калинина, д. 10А</t>
  </si>
  <si>
    <t>Кадастровый номер ЗУ 59:07:0010901:23 КП установлена на землях, госуд.собственность на которые не разграничена Кад.квартал 59:07:0010901</t>
  </si>
  <si>
    <t xml:space="preserve">бетонная плита / 4,0 </t>
  </si>
  <si>
    <t>Общество с ограниченной ответственностью "ЭлекООН-Медтехника", ОГРН 1025901846189, Пермский край, г. Краснокамск, ул. Коммунистическая, д. 42</t>
  </si>
  <si>
    <t>г. Краснокамск, ул. Коммунистическая, д. 42</t>
  </si>
  <si>
    <t>Кадастровый номер ЗУ 59:07:0020129:6</t>
  </si>
  <si>
    <t>бетонное покрытие / 2,0</t>
  </si>
  <si>
    <t>Муниципальное бюджетное общеобразовательное учреждение "Средняя общеобразовательная школа № 11" СП "Детский сад № 32", ОГРН 1025901847817, Пермский край, п. Оверята, ул. Комсомольская, д. 12а</t>
  </si>
  <si>
    <t>Кадастровый номер ЗУ 59:07:0011008:11</t>
  </si>
  <si>
    <t>асфальтированная площадка / 8,0</t>
  </si>
  <si>
    <t>Муниципальное автономное общеобразовательное учреждение "Гимназия № 5" СП "Детский сад № 12", ОГРН 1025901846794, Пермский край, г.Краснокамск, ул. Коммунальная, д. 8</t>
  </si>
  <si>
    <t>г. Краснокамск, ул. Коммунальная, д. 8</t>
  </si>
  <si>
    <t>Кадастровый номер ЗУ 59:07:0011006:24</t>
  </si>
  <si>
    <t>асфальтированная площадка / 20,0</t>
  </si>
  <si>
    <t>Муниципальное автономное общеобразовательное учреждение "Гимназия № 5" СП "Детский сад № 44", ОГРН 1025901846794, Пермский край, г. Краснокамск, ул. Звездная, д. 3</t>
  </si>
  <si>
    <t>г. Краснокамск, ул. Звездная, д. 3</t>
  </si>
  <si>
    <t>Кадастровый номер ЗУ 59:07:0011006:17</t>
  </si>
  <si>
    <t>Муниципальное автономное общеобразовательное учреждение "Гимназия № 5" СП "Детский сад № 41", ОГРН 1025901846794, Пермский край, г. Краснокамск, ул. Энтузиастов, д. 21</t>
  </si>
  <si>
    <t>г. Краснокамск, ул. Энтузиастов, д. 21</t>
  </si>
  <si>
    <t>Кадастровый номер ЗУ 59:07:0010511:203</t>
  </si>
  <si>
    <t>бетонная плита с ограждением / 15,0</t>
  </si>
  <si>
    <t>Клейменова Елена Владимировна, ИНН 591603669891, Пермский край, г. Краснокамск, ул. Калинина, д. 12, кв. 57</t>
  </si>
  <si>
    <t>г. Краснокамск, ул. Суворова, д. 1а</t>
  </si>
  <si>
    <t>Кадастровый номер ЗУ 59:07:0010908:5</t>
  </si>
  <si>
    <t>асфальтированная площадка с ограждением / 8,0</t>
  </si>
  <si>
    <t>ИП Гайдалас Тамара Николаевна, ОГРНИП 307591613400013, г. Краснокамск, ул. Крупской, д. 4а, кв. 10</t>
  </si>
  <si>
    <t>Кадастровый квартал 59:07:0011008</t>
  </si>
  <si>
    <t>бетонированная площадка с ограждением / 8,0</t>
  </si>
  <si>
    <t>г. Краснокамск, ул. Энтузиастов, д. 4</t>
  </si>
  <si>
    <t>ИП Русинова Олеся Александровна, ОГРНИП 319595800097860, Пермский край, г. Кунгур, ул. Ситникова, д. 78, кв. 49 (Договор аренды нежилого помещения от 04.10.2019 г.)</t>
  </si>
  <si>
    <t>Кадастровый номер ЗУ 59:07:0011006:4</t>
  </si>
  <si>
    <t>асфальтированная площадка с ограждением / 10,0</t>
  </si>
  <si>
    <t>Бабина Ольга Егоровна, ИНН 591603211607, Пермский край, г. Краснокамск, ул. Звездная, д. 4, кв. 25</t>
  </si>
  <si>
    <t xml:space="preserve">г. Краснокамск, ул. 10-й Пятилетки, в районе дома № 13 по ул. Энтузиастов </t>
  </si>
  <si>
    <t>Кадастровый номер ЗУ 59:07:0010519:45</t>
  </si>
  <si>
    <t>бетонное покрытие / 15,0</t>
  </si>
  <si>
    <t>Муниципальное автономное общеобразовательное учреждение"Средняя общеобразовательная школа № 4", ОГРН 1025901847036, Пермский край, г. Краснокамск, ул. 50 лет Октября, д. 5</t>
  </si>
  <si>
    <t>г. Краснокамск, ул. 50 лет Октября, д. 5</t>
  </si>
  <si>
    <t>Кадастровый номер ЗУ 59:07:0020135:26</t>
  </si>
  <si>
    <t>Муниципальное бюджетное общеобразовательное учреждение "Средняя общеобразовательная школа № 11" г. Краснокамска СП "Детский сад № 43", ОГРН 1025901847817, Пермский край, п. Оверята, ул. Кирпичная, д. 13а</t>
  </si>
  <si>
    <t xml:space="preserve">ИП Русинова Олеся Александровна, ОГРНИП 319595800097860, Пермский край, г. Кунгур, ул. Ситникова, д. 78, кв. 49 </t>
  </si>
  <si>
    <t>Кадастровый номер ЗУ 59:07:0010107:27</t>
  </si>
  <si>
    <t>Муниципальное бюджетное общеобразовательное учреждение "Конец-Борская основная общеобразовательная школа", ОГРН 1025901847652, Пермский край, г. Краснокамск, ул. Циолковского, д. 2</t>
  </si>
  <si>
    <t>г. Краснокамск, ул. Циолковского, д. 2</t>
  </si>
  <si>
    <t>Кадастровый номер ЗУ 59:07:0030102:80</t>
  </si>
  <si>
    <t>асфальтированная площадка / 4,0</t>
  </si>
  <si>
    <t>Муниципальное автономное учреждение "Спортивная школа п. Майский", ОГРН 1025901847311, Пермский край, Краснокамский ГО, п. Майский, ул. Северная, д. 2</t>
  </si>
  <si>
    <t>п. Майский, ул. Северная, д. 2</t>
  </si>
  <si>
    <t>Кадастровый номер ЗУ 59:07:0010505:3</t>
  </si>
  <si>
    <t>Муниципальное бюджетное учреждение "Спортивная школа г. Краснокамска", ОГРН 1025901848004, Пермский край, г. Краснокамск, ул. Карла Маркса, д. 4В</t>
  </si>
  <si>
    <t>г. Краснокамск, ул. Карла Маркса, д. 4В</t>
  </si>
  <si>
    <t>Кадастровый номер ЗУ 59:07:0010701:17</t>
  </si>
  <si>
    <t>асфальтированная площадка / 1,5</t>
  </si>
  <si>
    <t>Общество с ограниченной ответственностью "Петройл", ОГРН 1156679001896, индекс 620073, обл. Свердловская, г. Екатеринбург, ул. Крестинского, д. 44, офис 117</t>
  </si>
  <si>
    <t>г. Краснокамск, на 464 км 500 м (справа) в придорожной полосе федеральной автомобильной дороги подъезд к Перми от автодороги М7 "Волга" (обход г. Краснокамска) и автодороги Краснокамск - с.Черная</t>
  </si>
  <si>
    <t>Кадастровый номер ЗУ 59:07:0010908:4</t>
  </si>
  <si>
    <t>г. Краснокамск, ул. Спортивная, д. 1</t>
  </si>
  <si>
    <t>Общество с ограниченной ответственностью "ПермИнженирингГрупп", ОГРН 1105904009023, индекс 614025, г. Пермь, ул. Нейвинская, д. 10, корпус А, офис 33</t>
  </si>
  <si>
    <t>Кадастровый квартал 59:07:0010903</t>
  </si>
  <si>
    <t>асфальтированная площадка / 3,75</t>
  </si>
  <si>
    <t>Акционерное общество "Коммунальные электрические сети Краснокамского муниципального района", ОГРН 1165958089571, Пермский край, г. Краснокамск, ул. Коммунистическая, д. 18</t>
  </si>
  <si>
    <t>г. Краснокамск, ул. Коммунистическая, д. 18</t>
  </si>
  <si>
    <t>Реконструкция в 2019</t>
  </si>
  <si>
    <t>Кадастровый номер ЗУ 59:07:0010901:101</t>
  </si>
  <si>
    <t>г. Краснокамск, ул. Геофизиков, д. 33</t>
  </si>
  <si>
    <t>ИП Рубцов Дмитрий Георгиевич, ОГРНИП 306590333900024, г. Пермь, ул. Плеханова, д. 12, кв. 80</t>
  </si>
  <si>
    <t>ЗУ госуд.собств-сть не разграничена 59:07:0210101</t>
  </si>
  <si>
    <t>ул. Центральная, ул. Дачная, ул. Садовая, ул. Лесная</t>
  </si>
  <si>
    <t>крытая бетонная площадка с ограждением с 3-х сторон / 6,0</t>
  </si>
  <si>
    <t xml:space="preserve">1. бетонная площадка с ограждением с 3-х сторон / 24,0; 2. бетонная с ограждением для КГМ / 4,4
</t>
  </si>
  <si>
    <t>бетонная площадка с ограждением с 3-х сторон / 24,0</t>
  </si>
  <si>
    <t>1. бетонная площадка с ограждением с 3-х сторон / 24,0; 2. бетонная с ограждением для КГМ / 4,4</t>
  </si>
  <si>
    <t>1. бетонная площадка с ограждением с 3-х сторон / 24,0; 2. бетонная с металлическим ограждением для КГМ / 4,4</t>
  </si>
  <si>
    <t>1. две бетонные площадки с ограждением с 3-х сторон / 2*24,0; 2. бетонная с ограждением для КГМ / 4,4</t>
  </si>
  <si>
    <t xml:space="preserve">1. бетонная площадка с ограждением с 3-х сторон / 24,0;  2. бетонная с ограждением для КГМ / 4,4
</t>
  </si>
  <si>
    <t xml:space="preserve">бетонная площадка с ограждением с  3-х сторон / 24,0
</t>
  </si>
  <si>
    <t>крытая бетонная площадка с ограждением с 3-х сторон с отсеком для КГМ / 12,0</t>
  </si>
  <si>
    <t>крытая бетонная площадка с ограждением с 3-х сторон / 9,0</t>
  </si>
  <si>
    <t>крытая бетонная площадка с ограждением с 3-х сторон с отсеком для КГМ / 15,0</t>
  </si>
  <si>
    <t>крытая бетонная площадка с ограждением с 3-х сторон / 12,0</t>
  </si>
  <si>
    <t>крытая бетонная площадка с ограждением с 3-х сторон с отсеком для КГМ / 6,0</t>
  </si>
  <si>
    <t>крытая бетонная площадка с ограждением с 3-х сторон с отсеком для КГМ / 18,0</t>
  </si>
  <si>
    <t>крытая бетонная площадка с ограждением с 3-х сторон с отсеком для КГМ / 9,0</t>
  </si>
  <si>
    <t>ЗУ госуд.собств-сть не разграничена 59:07:0011001</t>
  </si>
  <si>
    <t>ЗУ госуд.собств-сть не разграничена 59:07:0011603</t>
  </si>
  <si>
    <t>ЗУ госуд.собств-сть не разграничена 59:07:0011506</t>
  </si>
  <si>
    <t>ЗУ госуд.собств-сть не разграничена, Кадастровый квартал 59:07:0011502</t>
  </si>
  <si>
    <t>ЗУ госуд.собств-сть не разграничена, Кадастровый квартал 59:07:0010319</t>
  </si>
  <si>
    <t>Администрация Краснокамского городского округа, ОГРН 1185958069648 (проект планировки)</t>
  </si>
  <si>
    <t xml:space="preserve">Администрация Краснокамского городского округа, ОГРН 1185958069648 </t>
  </si>
  <si>
    <t>50/50 Администрация Краснокамского городского округа, ОГРН 1185958069648  и Собстсвенники МКД по ул. Коммунальная, 23 (проект планировки)</t>
  </si>
  <si>
    <t>ЗУ госуд.собств-сть не разграничена, Кадастровый квартал 59:07:0011003</t>
  </si>
  <si>
    <t>S мкд=32413,6*0,079=2560,67/12=213,39 м3/мес /30= 7, 1 м3 (1174 чел)</t>
  </si>
  <si>
    <t>ЗУ госуд.собств-сть не разграничена 59:07:0010610</t>
  </si>
  <si>
    <t>г. Краснокамск, пр. Маяковского, 11</t>
  </si>
  <si>
    <t>пр. Маяковского, 14,16; ул.Культуры, 4,4а,6; пр.Комсомольский, 15,17</t>
  </si>
  <si>
    <t>г. Краснокамск, ул. Геофизиков, д. 4</t>
  </si>
  <si>
    <t>ЗУ 59:07:0010608:640 (договор аренды ЗУ от 27.06.2019 № 880 до 30.04.2024)</t>
  </si>
  <si>
    <t>ИП Муравьева Наталья Наильевна, ОГРНИП 304590829500122, г. Пермь, ул. Кировоградская, д. 6, кв. 92</t>
  </si>
  <si>
    <t xml:space="preserve">асфальтированная площадка с ограждением / 3,0 </t>
  </si>
  <si>
    <t>ЗУ 59:07:0010801:222</t>
  </si>
  <si>
    <t>асфальтированная площадка / 5,0</t>
  </si>
  <si>
    <t>Закрытое акционерное общество "Карбокам", ОГРН 1025901844440, Пермский край, г. Краснокамск, ул. Шоссейная, д. 11, корпус главный, вход отдельный</t>
  </si>
  <si>
    <t>г. Краснокамск, ул. Шоссейная, д. 11 (административно-бытовое здание)</t>
  </si>
  <si>
    <t>г. Краснокамск, ул. Киевская, 18 / 58,075330 55,792480</t>
  </si>
  <si>
    <t>ЗУ 59:07:0011003:1859</t>
  </si>
  <si>
    <t>Муниципальное автономное дошкольное образовательное учреждение "Детский сад № 24", ОГРН 1035901549045, Пермский край, г. Краснокамск, ул. Энтузиастов, д. 26А</t>
  </si>
  <si>
    <t>г. Краснокамск, ул. Энтузиастов, д. 26А</t>
  </si>
  <si>
    <t>асфальтированная площадка с ограждением / 50,0</t>
  </si>
  <si>
    <t>ЗУ 59:07:0010801:209</t>
  </si>
  <si>
    <t>асфальтированная площадка / 50,0</t>
  </si>
  <si>
    <t>Общество с ограниченной ответственностью "Производственная компания Лес", ОГРН 1165958065789, г. Пермь, ул. Монастырская, д. 12А, офис 318</t>
  </si>
  <si>
    <t>г. Краснокамск, ул. Шоссейная, 11 (административное здание)</t>
  </si>
  <si>
    <t>кадастровый квартал 59:07:0020132</t>
  </si>
  <si>
    <t>бетонное основание / 3,0</t>
  </si>
  <si>
    <t>Пермская дистанция электроснабжения Свердловской дирекции по энергосбережению - структурного подразделения Трансэнерго - филиала ОАО "РЖД", ОГРН 1037739877295, г. Пермь, ул. Малкова, д. 28б</t>
  </si>
  <si>
    <t>кадастровый квартал 59:07:2330101</t>
  </si>
  <si>
    <t>бетонное основание / 6,25</t>
  </si>
  <si>
    <t>п. ж-д площадки Мишкино, СНТ "Рябинушка" / 58,140306 55,822306</t>
  </si>
  <si>
    <t>Садовое некоммерческое товарищество "Рябинушка", ОГРН 1025901846222, Пермский край, Краснокамский ГО, поселок ж-д плошщадки Мишкино</t>
  </si>
  <si>
    <t>куплены в 2019 г. по ФСГС</t>
  </si>
  <si>
    <t>кадастровый номер ЗУ 59:07:0020129:1104</t>
  </si>
  <si>
    <t>Акционерное общество "Пермтрансжелезобетон", ОГРН 1025901845001, Пермский край, Краснокамский городской округ, пгт. Оверята, ул. Комсомольская, 2</t>
  </si>
  <si>
    <t>бетонная плита с  ограждением / 4,8</t>
  </si>
  <si>
    <t>кадастровый номер ЗУ 59:07:0010510:7</t>
  </si>
  <si>
    <t>Общество с ограниченной ответственностью "Санаторий-профилакторий "Вита", ОГРН 1025901843846, Пермский край, г. Краснокамск, ул. Комарова, д.2</t>
  </si>
  <si>
    <t>г. Краснокамск, ул. Комарова, д. 2</t>
  </si>
  <si>
    <t>кадастровый номер ЗУ 59:07:0010610:41</t>
  </si>
  <si>
    <t>железобетонное основание / 6,0</t>
  </si>
  <si>
    <t>Общество с ограниченной ответственностью "Пермгеокабель", ОГРН 1025901513550, Пермский край, г. Краснокамск, ул. Геофизиков, д. 14, корпус 2</t>
  </si>
  <si>
    <t>г. Краснокамск, ул. Геофизиков, д. 14, корпус 2</t>
  </si>
  <si>
    <t>Общество с ограниченной ответственностью управляющая компания "Пермтрансжелезобетон", ОГРН 1065916002679, Краснокамский городской округ, п. Оверята, ул. Комсомольская, д. 8, корпус А, офис 1</t>
  </si>
  <si>
    <t>МКУ "Краснокамск благоустройство", ОГРН 1085916000015, Пермский край, г. Краснокамск, ул. Большевистская, д.6</t>
  </si>
  <si>
    <t>Собственники ЗУ 59:07:0011003:67 МКД по ул. 10 Пятилетки, 3</t>
  </si>
  <si>
    <t>кадастровый номер ЗУ 59:07:2460101:75</t>
  </si>
  <si>
    <t>район д. Мишкино (производственная площадка ООО "РЭС") / 58,143285 55,778966</t>
  </si>
  <si>
    <t xml:space="preserve">бетонная плита с ограждением / 3,0 </t>
  </si>
  <si>
    <t>Общество с ограниченной ответственностью "РегионЭкоСервис", ОГРН 1075904003757, Пермский край, г. Пермь, ул. Челюскинцев, д. 14, 14а, офис 4</t>
  </si>
  <si>
    <t>Краснокамский городской округ, район д. Мишкино, здание ЦРМ производственной площадки ООО "РЭС"</t>
  </si>
  <si>
    <t>кадастровый квартал 59:07:0580106</t>
  </si>
  <si>
    <t xml:space="preserve">2 крытые бетонные площадки с ограждением с 3-х сторон одна с отсеком для КГМ / 30,0 </t>
  </si>
  <si>
    <t>1. бетонная площадка с ограждением с 3-х сторон / 24,0;                                           2. бетонная с ограждением для КГМ / 4,4</t>
  </si>
  <si>
    <t>1. бетонная площадка с ограждением с 3-х сторон / 24,0;                                                     2. бетонная с ограждением для КГМ / 4,4</t>
  </si>
  <si>
    <t>крытая бетонная площадка с ограждением с 3-х сторон с отсеком для КГМ / 27,0</t>
  </si>
  <si>
    <t>неразграничка, кадастровый квартал 59:07:2380101</t>
  </si>
  <si>
    <t xml:space="preserve">бетонные плиты с ограждением с 3-х сторон с отсеком для КГМ / 27,0 </t>
  </si>
  <si>
    <t>Садовое некоммерческое товарищество "Лесной", ОГРН 1025901845056, Пермский край, Краснокамский городской округ, д. Мошни</t>
  </si>
  <si>
    <t xml:space="preserve"> кадастровый номер ЗУ  59:07:0010612:2</t>
  </si>
  <si>
    <t>асфальтированная площадка с ограждением с 3-х сторон / 14,6</t>
  </si>
  <si>
    <t>Государственное бюджетное профессиональное учреждение "Краснокамский политехнический техникум", ОГРН 1155958095490, Пермский край, г. Краснокамск, ул. Пушкина, д. 15</t>
  </si>
  <si>
    <t>г. Краснокамск, ул. Пушкина, д. 15</t>
  </si>
  <si>
    <t>п. Майский, ул. Центральная, 6 / 58,105485 55,571564</t>
  </si>
  <si>
    <t>ул. Ласьвинская, ул. Центральная, ул. Дачная, ул. Зеленая</t>
  </si>
  <si>
    <t>65</t>
  </si>
  <si>
    <t>ул. Центральная, ул. Заречная, ул. Железнодорожная, ул. Небесная</t>
  </si>
  <si>
    <t>ул. Рябиновая, ул. Цветочная, ул. Центральная, ул. Радужная, ул. Школьная, ул. Спортивная, ул. Луговая, ул. Вишневая</t>
  </si>
  <si>
    <t>ул. Лесная, ул. Луговая, ул. Нагорная, ул.Березовая, ул. Молодежная, ул. Солнечная, ул. Северная</t>
  </si>
  <si>
    <t>г. Краснокамск, ул. Коммунистическая, 3 / 58,087554 55,763622</t>
  </si>
  <si>
    <t>г. Краснокамск, ул. К. Маркса, 37/ 58.083967 55.749165</t>
  </si>
  <si>
    <t>г. Краснокамск, ул. Энтузиастов, 28 / 58.088411, 55.781593</t>
  </si>
  <si>
    <t xml:space="preserve"> кадастровый номер квартала  59:07:1710101</t>
  </si>
  <si>
    <t>цементированная площадка с ограждением с 3-х сторон / 24,0</t>
  </si>
  <si>
    <t>Некоммерческое садовое товарищество "Строитель-1", ОГРН 1025901849676, Пермский край, г. Краснокамск, мкр. Запальта</t>
  </si>
  <si>
    <t>2456, 2454, 2455 (06.10.2020)</t>
  </si>
  <si>
    <t>2437, 2436, 2460, 2441, 2231, 2435 (03.10.2020)</t>
  </si>
  <si>
    <t>г. Краснокамск, ул. К. Маркса, 50 / 58.088479 55.761255</t>
  </si>
  <si>
    <t>г. Краснокамск, ул. Гагарина, 2Б / 58.077684, 55.698645</t>
  </si>
  <si>
    <t>г. Краснокамск, ул. Запальта, 17/3 / 58.079064 55.710194</t>
  </si>
  <si>
    <t>г. Краснокамск, ул. Коммунальная, 7 / 58.086591 55.766896</t>
  </si>
  <si>
    <t>г. Краснокамск, ул. Чапаева, 23 / 58.082971 55.738684</t>
  </si>
  <si>
    <t>г. Краснокамск, ул. Чапаева, 29 / 58.084055 55.743161</t>
  </si>
  <si>
    <t>г. Краснокамск, пер. Восточный, 4 / 58.063641 55.825431</t>
  </si>
  <si>
    <t>г. Краснокамск, ул. Пушкина, 11 / 58.088754 55.758887</t>
  </si>
  <si>
    <t>г. Краснокамск, пер. Пальтинский, 4 / 58.080347 55.728796</t>
  </si>
  <si>
    <t>г. Краснокамск, ул. К. Маркса, 21 / 58.081618 55.743895</t>
  </si>
  <si>
    <t>г. Краснокамск, ул. Шоссейная, 3 / 58.077469 55.737935</t>
  </si>
  <si>
    <t>г. Краснокамск, пр. Мира, 16 / 58.078137 55.750730</t>
  </si>
  <si>
    <t>г. Краснокамск, ул. Пушкина, 18 / 58.087368 55.757513</t>
  </si>
  <si>
    <t>г. Краснокамск, ул. Коммунальная, 23 / 58.088703, 55.772146; 58.088665 55.772352</t>
  </si>
  <si>
    <t>г. Краснокамск, ул. Победы, 6 / 58.085123 55.782959</t>
  </si>
  <si>
    <t>г. Краснокамск, ул. 10 Пятилетки, 3 / 58.088976 55,775123</t>
  </si>
  <si>
    <t>Собственники МКД ул. Февральская, 6(2), ЗУ 
59:07:0011007:5</t>
  </si>
  <si>
    <t>г. Краснокамск, ул. Щербакова  / 58.060935 55.816206</t>
  </si>
  <si>
    <t>г. Краснокамск, ул. Металлистов, 19 / 58.060330 55.828841</t>
  </si>
  <si>
    <t>г. Краснокамск, ул. Энергетиков, 35 / 58.061831 55.809603</t>
  </si>
  <si>
    <t>г. Краснокамск, пер. Рабочий, 1 /58.073613 55.787576</t>
  </si>
  <si>
    <t>г. Краснокамск, ул. Спортивная, 10 / 58.072346 55.789599</t>
  </si>
  <si>
    <t>Материал используемого покрытия / площадь, м2</t>
  </si>
  <si>
    <t>Объем, м3</t>
  </si>
  <si>
    <t>Количество контейнеров, шт.</t>
  </si>
  <si>
    <t>Количество объектов капитального строительства, шт.</t>
  </si>
  <si>
    <t>сведения об объектах капитального строительства (МКД)</t>
  </si>
  <si>
    <t>в т.ч. кол-во МКД</t>
  </si>
  <si>
    <t>в т.ч. кол-во ИЖС</t>
  </si>
  <si>
    <t>сведения об объектах капитального строительства (ИЖС)</t>
  </si>
  <si>
    <t>13</t>
  </si>
  <si>
    <t>1.1</t>
  </si>
  <si>
    <t>1.2</t>
  </si>
  <si>
    <t>Реестр мест (площадок) накопления твердых коммунальных отходов, расположенных на территории Краснокамского городского округа (МКД, ИЖС)</t>
  </si>
  <si>
    <t xml:space="preserve">Реестр мест (площадок) накопления твердых коммунальных отходов, расположенных на территории Краснокамского городского округа (предприятия, организации, учреждения) </t>
  </si>
  <si>
    <t>2.1</t>
  </si>
  <si>
    <t>2.2</t>
  </si>
  <si>
    <t>2.3</t>
  </si>
  <si>
    <t>2.4</t>
  </si>
  <si>
    <t>2.5</t>
  </si>
  <si>
    <t>2.6</t>
  </si>
  <si>
    <t>г. Краснокамск, пер. Гражданский, 37 / 58,076023 55,660397</t>
  </si>
  <si>
    <t>г. Краснокамск, пер. Гражданский, 21 / 58,076834 55,664700</t>
  </si>
  <si>
    <t>г. Краснокамск, пр. Маяковского, 11 / 58,081362 55,759280</t>
  </si>
  <si>
    <t>г. Краснокамск, ул. Коммунистическая, 44 / 58,078138 55,774902</t>
  </si>
  <si>
    <t>г. Краснокамск, ул. Шоссейная, 11 / 58,076031 55,754978</t>
  </si>
  <si>
    <t>г. Краснокамск, ул. Коммунистическая, 44 / 58,076930 55,772758</t>
  </si>
  <si>
    <t>г. Краснокамск, ул. Комарова, 7 / 58,080168 55,730696</t>
  </si>
  <si>
    <t>г. Краснокамск, ул. Гагарина, 152 / 58,078177 55,650914</t>
  </si>
  <si>
    <t>г. Краснокамск, ул. Матросова, 14Б / 58,077421 55,800658</t>
  </si>
  <si>
    <t>г. Краснокамск, ул. Павлика Морозова, 4а / 58,069398 55,799993</t>
  </si>
  <si>
    <t>г. Краснокамск, ул. Шоссейная, 23 / 58,07425 55,766461</t>
  </si>
  <si>
    <t>г. Краснокамск, ул. Коммунистическая, 44 / 58,076854 55,772646</t>
  </si>
  <si>
    <t>г. Краснокамск, ул. Коммунистическая, 44 / 58,076924 55,769472</t>
  </si>
  <si>
    <t>г. Краснокамск, пр. Комсомольский, 7а / 58,082927 55,753770</t>
  </si>
  <si>
    <t>г. Краснокамск, ул. Геофизиков, 2 / 58,079300 55,757019</t>
  </si>
  <si>
    <t>г. Краснокамск, ул. Шоссейная, 17 / 58,074986 55,764139</t>
  </si>
  <si>
    <t>г. Краснокамск, ул. Шоссейная, д. 11 / 58,072210 55,750385</t>
  </si>
  <si>
    <t>г. Краснокамск, ул. Карла Маркса, д. 5 / 58,080354 55,738850</t>
  </si>
  <si>
    <t>г. Краснокамск, ул. Чапаева, д. 3 / 58,081549 55,734266</t>
  </si>
  <si>
    <t>г. Краснокамск, ул. Карла Маркса, д. 2а / 58,080899 55,736480</t>
  </si>
  <si>
    <t>г. Краснокамск, ул. Энтузиастов, 15 / 58,086896 55,778607</t>
  </si>
  <si>
    <t>г. Краснокамск, ул. Шоссейная, 29 / 58,0717 55,7774</t>
  </si>
  <si>
    <t>г. Краснокамск, ул. Чапаева, 35 / 58,085547 55,747838</t>
  </si>
  <si>
    <t>г. Краснокамск, ул. Чапаева, 35 / 58,086052 55,749248</t>
  </si>
  <si>
    <t>г. Краснокамск, Рождественский проезд, д.5 / 58,079814 55,714323</t>
  </si>
  <si>
    <t>г. Краснокамск, ул. Большевистская, д. 21 / 58,080685 55,745513</t>
  </si>
  <si>
    <t>г. Краснокамск, ул. Карла Либкнехта, д. 2а / 58,081501 55,730249</t>
  </si>
  <si>
    <t>г. Краснокамск, ул. Карла Маркса, д. 4Б / 58,081818 55,738684</t>
  </si>
  <si>
    <t>г. Краснокамск, ул. Коммунистическая, д. 16 / 58,084112 55,763806</t>
  </si>
  <si>
    <t>г. Краснокамск, ул. Энтузиастов, д. 9А / 58,086109 55,771666</t>
  </si>
  <si>
    <t>г. Краснокамск, ул. Чапаева, 49 / 58,088303 55,755129</t>
  </si>
  <si>
    <t>г. Краснокамск, ул. Школьная, д. 13 (место накопления ТКО № 10) / 58,07441 55,74587</t>
  </si>
  <si>
    <t>г. Краснокамск, ул. Школьная, д. 13 (место накопления ТКО № 12) / 58,07545 55,74530</t>
  </si>
  <si>
    <t>г. Краснокамск, ул. Чапаева, д. 40 / 58,086296 55,753902</t>
  </si>
  <si>
    <t>г. Краснокамск, ул. Чапаева, д. 29а / 58,083838 55,741567</t>
  </si>
  <si>
    <t>г. Краснокамск, ул. Карла Маркса, д. 4д / 58,083348 55,744750</t>
  </si>
  <si>
    <t>г. Краснокамск, ул. Советская, д. 29 / 58,058918 55,806301</t>
  </si>
  <si>
    <t>г. Краснокамск, пр. Комсомольский, 21 / 58,080944 55,756892</t>
  </si>
  <si>
    <t>г. Краснокамск, ул. Орджоникидзе, д. 2а / 58,080766 55,746040</t>
  </si>
  <si>
    <t>г. Краснокамск, ул. Большевистская, д. 34а / 58,0820 55,7453</t>
  </si>
  <si>
    <t>г. Краснокамск, ул. Калинина, д. 10а / 58,0766 55,7349</t>
  </si>
  <si>
    <t>г. Краснокамск, ул. Коммунистическая, д. 42 / 58,080297 55,770014</t>
  </si>
  <si>
    <t>г. Краснокамск, ул. Коммунальная, д. 8 / 58,086713 55,767683</t>
  </si>
  <si>
    <t>г. Краснокамск, ул. Звездная, д. 3 / 58,086309 55,782809</t>
  </si>
  <si>
    <t>г. Краснокамск, ул. Энтузиастов, д. 21 / 58,086338 55,780285</t>
  </si>
  <si>
    <t>г. Краснокамск, ул. Суворова, д. 1а / 58,077570 55,734659</t>
  </si>
  <si>
    <t>г. Краснокамск, ул. Шоссейная, д. 18 / 58,071683 55,786558</t>
  </si>
  <si>
    <t>г. Краснокамск, ул. Энтузиастов, д. 4 / 58,085621 55,766132</t>
  </si>
  <si>
    <t>г. Краснокамск, ул. 10-й Пятилетки, в районе дома № 13 по ул. Энтузиастов / 58,087072 55,775606</t>
  </si>
  <si>
    <t>г. Краснокамск, ул. 50 лет Октября, д. 5 / 58,0749 55,7343</t>
  </si>
  <si>
    <t>г. Краснокамск, ул. Циолковского, д. 2 / 58,075609 55,665475</t>
  </si>
  <si>
    <t>г. Краснокамск, ул. Карла Маркса, д. 4В / 58,083178 55,742383</t>
  </si>
  <si>
    <t>г. Краснокамск, ул. Спортивная, д. 1 / 58,073283 55,787106</t>
  </si>
  <si>
    <t>г. Краснокамск, ул. Коммунистическая, д. 18 / 58,0830 55,7671</t>
  </si>
  <si>
    <t>г. Краснокамск, на 464 км 500 м (справа) в придорожной полосе федеральной автомобильной дороги подъезд к Перми от автодороги М7 "Волга" (обход г. Краснокамска) и автодороги Краснокамск - с.Черная / 58,100666 55,751874</t>
  </si>
  <si>
    <t>г. Краснокамск, ул. Геофизиков, д. 35 / 58,081548 55,768996</t>
  </si>
  <si>
    <t>г. Краснокамск, ул. Геофизиков / 58,079849 55,758072</t>
  </si>
  <si>
    <t>г. Краснокамск, ул. Шоссейная, 11 / 58,074150 55,751893</t>
  </si>
  <si>
    <t>г. Краснокамск, ул. Энтузиастов, д. 26а / 58,089669 55,780981</t>
  </si>
  <si>
    <t>г. Краснокамск, ул. Шоссейная, 11 / 58,065822 55,778599</t>
  </si>
  <si>
    <t>г. Краснокамск, ул. Комарова, 2 / 58,077366 55,725816</t>
  </si>
  <si>
    <t>г. Краснокамск, ул. Геофизиков, 14 корпус 2 / 58,081966 55,762889</t>
  </si>
  <si>
    <t>г. Краснокамск, ул. Пушкина, д. 15 / 58,087281 55,761256</t>
  </si>
  <si>
    <t>г. Краснокамск, территория сада "Строитель" в кадастровом квартале  59:07:1710101 / 58,105144 55,679676</t>
  </si>
  <si>
    <t>д. Брагино, ул. Центральная, 3 / 58,149855 55,886262</t>
  </si>
  <si>
    <t>д. Волеги, ул. Дорожная (в районе автобусной остановки "Волеги") / 58,108688 55,580646</t>
  </si>
  <si>
    <t>д. Карабаи, ул. Зеленая / 58,079027 55,612400</t>
  </si>
  <si>
    <t>д. Карабаи, ул. Полевая / 58,086496 55,609753</t>
  </si>
  <si>
    <t>д. Конец-Бор, ул. Тепличная (в районе ост. "Конец-Бор") / 58,067542 55,642676</t>
  </si>
  <si>
    <t>д. Конец-Бор, пожарный проезд, в районе ИЖС № 72 по ул. Конец-Борская / 58,069494 55,653821</t>
  </si>
  <si>
    <t>д. Малые Шабуничи, ул. Заречная, 1 / 58,142424 55,706758</t>
  </si>
  <si>
    <t>д. Мошни, вблизи СНТ "Лесной" / 58,099011 55,927038</t>
  </si>
  <si>
    <t>д. Никитино (Мысы), ул. Шоссейная, 1 / 58,060481 55,839205</t>
  </si>
  <si>
    <t>д. Новая Ивановка, ул. Железнодорожная / 58,114559 55,833198</t>
  </si>
  <si>
    <t>д. Новая Ивановка, ул. Зеленая / 58,117457 55,841628</t>
  </si>
  <si>
    <t>д. Хухрята, ул. Заречная / 58,078444 55,890400</t>
  </si>
  <si>
    <t>п. Ласьва, ул. Заречная, 23 / 58,072788 55,960082</t>
  </si>
  <si>
    <t>п. Ласьва, ул. Лесная / 58,088156 55,971754</t>
  </si>
  <si>
    <t>п. Майский, ул. 9-ой Пятилетки (между МКД № 10 и 12 по ул. Центральная) / 58,103219 55,571564</t>
  </si>
  <si>
    <t>п. Майский, ул.Западная, 1 / 58.104029 55.564248</t>
  </si>
  <si>
    <t>п. Майский, ул. Центральная, 25 /  58.099925 55.564639</t>
  </si>
  <si>
    <t>п. Майский, ул. Шоссейная (в районе ЦТП-3) / 58,104232 55,576731</t>
  </si>
  <si>
    <t>п. Майский, Промплощадка АО "Пермский свинокомплекс" (в районе СВК № 1, комбикормовый завод) / 58,091248 55,558238</t>
  </si>
  <si>
    <t>п. Майский, Промплощадка АО "Пермский свинокомплекс" (справа от а/д "Майский-Фадеята" селекционно-гибридный центр (свинарники) / 58,074492 55,507229</t>
  </si>
  <si>
    <t>п. Майский, Промплощадка АО "Пермский свинокомплекс" (с правой стороны а/д "Майский-Фадеята" (Свиноводческий комплекс № 1 + Очистка) / 58,089402 55,550410</t>
  </si>
  <si>
    <t>п. Майский, ул. Запрудная, 1 / 58,108607 55,569435</t>
  </si>
  <si>
    <t>п. Майский, ул. Красногорская, 3 / 58,106114 55,570521</t>
  </si>
  <si>
    <t>п. Майский, ул. Центральная, д. 5 / 58,1047 55,5687</t>
  </si>
  <si>
    <t>п. Майский, ул. Южная, 10 / 58,102800 55,565307</t>
  </si>
  <si>
    <t>п. Майский, ул. Центральная, д. 7 / 58,103925 55,568283</t>
  </si>
  <si>
    <t>п. Майский, ул. Северная, д. 2 / 58,105694 55,565196</t>
  </si>
  <si>
    <t>п/ст. Шабуничи, ул. Железнодорожная / 58,137529 55,679987</t>
  </si>
  <si>
    <t>п/ст. Шабуничи, ул. Трактовая 2-я, 10 / 58,141273 55,698977</t>
  </si>
  <si>
    <t>п/ст. Шабуничи, ул. Трактовая, 55 / 58,136306 55,672242</t>
  </si>
  <si>
    <t>с. Мысы, ул. Запрудная / 58,061715 55,907304</t>
  </si>
  <si>
    <t>с. Мысы, ул. Центральная, 11 / 58,057638, 55,880780</t>
  </si>
  <si>
    <t>с. Мысы, ул. Полевая 2-я / 58,058557 55,897447</t>
  </si>
  <si>
    <t>с. Мысы, ул. Центральная / 58,056099 55,878621</t>
  </si>
  <si>
    <t>с. Мысы, ул. Пролетарская, д. 46 / 58,057664 55,885442</t>
  </si>
  <si>
    <t>с. Мысы, ул. Школьная, д. 11 / 58,0602 55,9116</t>
  </si>
  <si>
    <t>с. Мысы, ул. Солнечная, д. 2 / 58,0587 55,8812</t>
  </si>
  <si>
    <t>с. Стряпунята, ул. Новостройки / 58,181862 55,955657</t>
  </si>
  <si>
    <t>с. Стряпунята, ул. Механизаторов / 58,179434 55,947905</t>
  </si>
  <si>
    <t>с. Стряпунята, ул. Молодежная / 58,182020 55,950456</t>
  </si>
  <si>
    <t>с. Стряпунята, ул. Советская, 8 / 58,176937 55,950452</t>
  </si>
  <si>
    <t>с. Стряпунята, ул. Советская (за речкой) / 58,175254 55,960297</t>
  </si>
  <si>
    <t>с. Стряпунята, ул. Транспортная, 2 / 58.180771 55.948755</t>
  </si>
  <si>
    <t>с. Стряпунята, ул. Энтузиастов / 58.183490, 55.945424</t>
  </si>
  <si>
    <t>с. Стряпунята, ул. Советская, 2 / 58,179586 55,949144; 58,179568 55,949136; 58,179560 55,949215; 58,179577 55,949222</t>
  </si>
  <si>
    <t>с. Усть-Сыны, ул. Октябрьская, д. 2 / 58,041329 55,570066</t>
  </si>
  <si>
    <t>с. Черная, ул. Заводская, 1а / 58,141088 55,738092</t>
  </si>
  <si>
    <t>с. Черная, ул. Северная / 58,143990 55,734225</t>
  </si>
  <si>
    <t>с. Черная, ул. Центральная / 58,147186 55,729595</t>
  </si>
  <si>
    <t>с. Черная, ул. Совхозная, 5А / 58,143082 55,729441</t>
  </si>
  <si>
    <t>с. Черная, ул. Северная, д. 1 / 58,144257 55,730866</t>
  </si>
  <si>
    <t>Адрес расположения  (наименование населенного пункта, улица, номер дома)/ координаты  расположения площадки (ориентир)</t>
  </si>
  <si>
    <t>Данные о технических характеристиках МНО</t>
  </si>
  <si>
    <t>г. Краснокамск, ул. Геофизиков, 23</t>
  </si>
  <si>
    <t>г. Краснокамск, ул. Геофизиков, 14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</si>
  <si>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</si>
  <si>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</si>
  <si>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</si>
  <si>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</si>
  <si>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</si>
  <si>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</si>
  <si>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</si>
  <si>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</si>
  <si>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</si>
  <si>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</si>
  <si>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</si>
  <si>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</si>
  <si>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</si>
  <si>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</si>
  <si>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</si>
  <si>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</si>
  <si>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</si>
  <si>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</si>
  <si>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</si>
  <si>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</si>
  <si>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</si>
  <si>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</si>
  <si>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</si>
  <si>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</si>
  <si>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</si>
  <si>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</si>
  <si>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</si>
  <si>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</si>
  <si>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</si>
  <si>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</si>
  <si>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</si>
  <si>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</si>
  <si>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</si>
  <si>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</si>
  <si>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</si>
  <si>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</si>
  <si>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</si>
  <si>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</si>
  <si>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</si>
  <si>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</si>
  <si>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</si>
  <si>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</si>
  <si>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</si>
  <si>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</si>
  <si>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</si>
  <si>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</si>
  <si>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</si>
  <si>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</si>
  <si>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</si>
  <si>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</si>
  <si>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</si>
  <si>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</si>
  <si>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</si>
  <si>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</si>
  <si>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</si>
  <si>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</si>
  <si>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</si>
  <si>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</si>
  <si>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</si>
  <si>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</si>
  <si>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</si>
  <si>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</si>
  <si>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</si>
  <si>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</si>
  <si>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</si>
  <si>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</si>
  <si>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</si>
  <si>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</si>
  <si>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</si>
  <si>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</si>
  <si>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</si>
  <si>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</si>
  <si>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</si>
  <si>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</si>
  <si>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</si>
  <si>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</si>
  <si>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</si>
  <si>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</si>
  <si>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2.85</t>
  </si>
  <si>
    <t>2.86</t>
  </si>
  <si>
    <t>2.87</t>
  </si>
  <si>
    <t>2.88</t>
  </si>
  <si>
    <t>2.89</t>
  </si>
  <si>
    <t>2.90</t>
  </si>
  <si>
    <t>2.91</t>
  </si>
  <si>
    <t>2.92</t>
  </si>
  <si>
    <t>2.93</t>
  </si>
  <si>
    <t>2.94</t>
  </si>
  <si>
    <t>2.95</t>
  </si>
  <si>
    <t>2.96</t>
  </si>
  <si>
    <t>2.97</t>
  </si>
  <si>
    <t>2.98</t>
  </si>
  <si>
    <t>2.99</t>
  </si>
  <si>
    <t>2.100</t>
  </si>
  <si>
    <t>2.101</t>
  </si>
  <si>
    <t>2.102</t>
  </si>
  <si>
    <t>п. Ласьва, ул. Железнодорожная / 58,072580 55,950246</t>
  </si>
  <si>
    <t>п. Ласьва, ул. Центральная, № 7Б / 58,080420 55,975182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</si>
  <si>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</si>
  <si>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</si>
  <si>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</si>
  <si>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</si>
  <si>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</si>
  <si>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</si>
  <si>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</si>
  <si>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</si>
  <si>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</si>
  <si>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</si>
  <si>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</si>
  <si>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</si>
  <si>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</si>
  <si>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</si>
  <si>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</si>
  <si>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</si>
  <si>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</si>
  <si>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</si>
  <si>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</si>
  <si>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</si>
  <si>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</si>
  <si>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</si>
  <si>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</si>
  <si>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</si>
  <si>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</si>
  <si>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</si>
  <si>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</si>
  <si>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</si>
  <si>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</si>
  <si>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</si>
  <si>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</si>
  <si>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</si>
  <si>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</si>
  <si>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</si>
  <si>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</si>
  <si>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</si>
  <si>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</si>
  <si>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</si>
  <si>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</si>
  <si>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</si>
  <si>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</si>
  <si>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</si>
  <si>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</si>
  <si>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</si>
  <si>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</si>
  <si>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</si>
  <si>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</si>
  <si>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</si>
  <si>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</si>
  <si>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</si>
  <si>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</si>
  <si>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</si>
  <si>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</si>
  <si>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</si>
  <si>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</si>
  <si>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</si>
  <si>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</si>
  <si>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</si>
  <si>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</si>
  <si>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</si>
  <si>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</si>
  <si>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</si>
  <si>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</si>
  <si>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</si>
  <si>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</si>
  <si>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</si>
  <si>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</si>
  <si>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</si>
  <si>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</si>
  <si>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</si>
  <si>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</si>
  <si>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</si>
  <si>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</si>
  <si>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</si>
  <si>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</si>
  <si>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</si>
  <si>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</si>
  <si>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</si>
  <si>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</si>
  <si>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</si>
  <si>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</si>
  <si>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</si>
  <si>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</si>
  <si>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</si>
  <si>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</si>
  <si>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</si>
  <si>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</si>
  <si>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</si>
  <si>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</si>
  <si>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</si>
  <si>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</si>
  <si>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</si>
  <si>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</si>
  <si>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</si>
  <si>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</si>
  <si>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</si>
  <si>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</si>
  <si>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</si>
  <si>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</si>
  <si>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</si>
  <si>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</si>
  <si>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</si>
  <si>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</si>
  <si>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1.106</t>
  </si>
  <si>
    <t>1.107</t>
  </si>
  <si>
    <t>1.108</t>
  </si>
  <si>
    <t>1.109</t>
  </si>
  <si>
    <t>1.110</t>
  </si>
  <si>
    <t>1.111</t>
  </si>
  <si>
    <t>1.112</t>
  </si>
  <si>
    <t>1.113</t>
  </si>
  <si>
    <t>1.114</t>
  </si>
  <si>
    <t>1.115</t>
  </si>
  <si>
    <t>1.116</t>
  </si>
  <si>
    <t>1.117</t>
  </si>
  <si>
    <t>1.118</t>
  </si>
  <si>
    <t>1.119</t>
  </si>
  <si>
    <t>1.120</t>
  </si>
  <si>
    <t>1.121</t>
  </si>
  <si>
    <t>1.122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</si>
  <si>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</si>
  <si>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</si>
  <si>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</si>
  <si>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</si>
  <si>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</si>
  <si>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</si>
  <si>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</si>
  <si>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</si>
  <si>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</si>
  <si>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п. Майский, ул. 9-ой Пятилетки / 58.105842 55.574543</t>
  </si>
  <si>
    <t>ул. Красногорская, 1 (часть); ул. 9-ой Пятилетки, 2,3,4,6,8,10,12</t>
  </si>
  <si>
    <t>п. Майский, ул. Центральная, 18 / 58,101251 55,566487</t>
  </si>
  <si>
    <t>ул. Центральная, 11,16,18; ул. 9-ой Пятилетки, 30</t>
  </si>
  <si>
    <t>ул. Культуры, ул. Марли, ул. Центральная, ул. Южная, пер. Строителей</t>
  </si>
  <si>
    <t>ул. 9-ой Пятилетки, 9,26,28; ул. Центральная, 10,12,14</t>
  </si>
  <si>
    <t>п. Майский, ул. 9-ой Пятилетки (в районе ЦТП-1) / 58,104768 55,573254</t>
  </si>
  <si>
    <t>ул. Западная, ул. Культуры, пер. Зеленый, пер. Строителей</t>
  </si>
  <si>
    <t>ул. Западная, 1,3,5, ул. Северная, 3,5</t>
  </si>
  <si>
    <t>1.132</t>
  </si>
  <si>
    <t>1.133</t>
  </si>
  <si>
    <t>1.134</t>
  </si>
  <si>
    <t>3.1</t>
  </si>
  <si>
    <t>д. Абакшата (АН) / 58.266372 55.856987</t>
  </si>
  <si>
    <t>д. Абакшата (АН)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</si>
  <si>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</si>
  <si>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</si>
  <si>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</si>
  <si>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</si>
  <si>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</si>
  <si>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</si>
  <si>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</si>
  <si>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</si>
  <si>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</si>
  <si>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</si>
  <si>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</si>
  <si>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</si>
  <si>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</si>
  <si>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</si>
  <si>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</si>
  <si>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</si>
  <si>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</si>
  <si>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</si>
  <si>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</si>
  <si>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</si>
  <si>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</si>
  <si>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</si>
  <si>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</si>
  <si>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</si>
  <si>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</si>
  <si>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</si>
  <si>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</si>
  <si>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</si>
  <si>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</si>
  <si>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</si>
  <si>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</si>
  <si>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</si>
  <si>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</si>
  <si>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д. Абакшата (СТ)</t>
  </si>
  <si>
    <t>д. Абакшата (СТ) / 58.188336 55.841126</t>
  </si>
  <si>
    <t>д. Абросы / 58.232872 55.891815</t>
  </si>
  <si>
    <t>д. Абросы</t>
  </si>
  <si>
    <t>д. Антоновцы / 58,144250 55,803843</t>
  </si>
  <si>
    <t>17</t>
  </si>
  <si>
    <t>д. Батуры / 58.186351 55.903433</t>
  </si>
  <si>
    <t>д. Батуры</t>
  </si>
  <si>
    <t>д. Батуры / 58.184136 55.907768</t>
  </si>
  <si>
    <t>д. Большие Калинята / 58.198539 55.937018</t>
  </si>
  <si>
    <t>д. Большие Калинята</t>
  </si>
  <si>
    <t>д. Большие Калинята / 58.194876 55.935620</t>
  </si>
  <si>
    <t>ЗУ госуд.собств-сть не разграничена, Кадастровый квартал 59:07: 2430103</t>
  </si>
  <si>
    <t>ул. Центральная, ул. Ручейная, ул.Садовая, ул.Сюзьвенская</t>
  </si>
  <si>
    <t>д. Большое Шилово, ул.Шиловская / 58,032701 55,614283</t>
  </si>
  <si>
    <t>ЗУ госуд.собств-сть не разграничена, Кадастровый квартал 59:07: 0480101</t>
  </si>
  <si>
    <t>ул.Шиловская, ул.Мирная, ул.Сюзвенская, ул.Садовая</t>
  </si>
  <si>
    <t>д. Брагино, ул. Российская / 58,146385 55,886626</t>
  </si>
  <si>
    <t>26</t>
  </si>
  <si>
    <t>ул. Солнечная, пер. Южный, ул. Российская</t>
  </si>
  <si>
    <t>34</t>
  </si>
  <si>
    <t>ул. Верхняя, ул. Нижняя</t>
  </si>
  <si>
    <t xml:space="preserve">ул. Центральная, ул. Полевая </t>
  </si>
  <si>
    <t>д. Верхнее Гуляево, ул.Курановская / 58,013339 55,557400</t>
  </si>
  <si>
    <t>ул.Курановская, ул.Поломенская, пер.Ясный, ул.Рябиновая, ул.Липовая, пер.Тихий, ул.Ягодная</t>
  </si>
  <si>
    <t>д. Волеги, ул. Железнодорожная / 58,107586 55,581644</t>
  </si>
  <si>
    <t>ул. Железнодорожная</t>
  </si>
  <si>
    <t>д. Волеги, ул.Нагорная / 58,111006 55,580850</t>
  </si>
  <si>
    <t>ул. Дорожная, ул. Нагорная</t>
  </si>
  <si>
    <t>д. Волеги, перекресток ул. Еловые горки и ул. Солнечная / 58,109534 55,577017</t>
  </si>
  <si>
    <t>ул. Солнечная, ул. Еловые горки, ул. Нагорная, ул. Заречная</t>
  </si>
  <si>
    <t>д. Волеги, ул. Еловые горки (в районе кафе "Майская гора") / 58,108541 55,574991</t>
  </si>
  <si>
    <t>ул. Луговая, ул. Еловые горки</t>
  </si>
  <si>
    <t>д. Волеги, ул. Луговая / 58,107347 55,576707</t>
  </si>
  <si>
    <t>ул. Луговая, пер. Цветочный, ул.Дорожная</t>
  </si>
  <si>
    <t>д. Гурино, в районе магазина по ул. Камская, 7а / 58,033499 55,622119</t>
  </si>
  <si>
    <t>ул.Майская, ул.Летняя, ул.Камская, ул.Яблоневая</t>
  </si>
  <si>
    <t>д. Гурино, ул. Камская / 58,033133 55,627713</t>
  </si>
  <si>
    <t>ул.Цветочная, ул.Рыбацкая, ул.Камская</t>
  </si>
  <si>
    <t>ЗУ госуд.собств-сть не разграничена, кад.квартал 59:07:0650101</t>
  </si>
  <si>
    <t>д. Даньки, ул. Трактовая / 58,134897 55,743224</t>
  </si>
  <si>
    <t>ЗУ госуд.собств-сть не разграничена, кад.квартал 59:07:2460101</t>
  </si>
  <si>
    <t>ул. Южная, ул. Луговая, ул. Центральная, ул. Трактовая, ул. Заречная; ж/д будка 1403-й км</t>
  </si>
  <si>
    <t>д. Дочки / 58.242044 55.868544</t>
  </si>
  <si>
    <t>д. Дочки</t>
  </si>
  <si>
    <t>д. Евстюничи / 58.241147 55.952367</t>
  </si>
  <si>
    <t>д. Евстюничи</t>
  </si>
  <si>
    <t>д. Екимята</t>
  </si>
  <si>
    <t>д. Ерешино / 58.163999 56.068195</t>
  </si>
  <si>
    <t>д. Ерешино</t>
  </si>
  <si>
    <t>д. Жаково / 58.209165 55.933158</t>
  </si>
  <si>
    <t>д. Жаково</t>
  </si>
  <si>
    <t>д. Залесная / 58,237213 55,793903</t>
  </si>
  <si>
    <t>д. Залесная</t>
  </si>
  <si>
    <t>д. Запальта, ул. Центральная / 58,151931 55,757299</t>
  </si>
  <si>
    <t>ЗУ госуд.собств-сть не разграничена, кад.квартал 59:07:0660101</t>
  </si>
  <si>
    <t>20</t>
  </si>
  <si>
    <t>ул. Солнечная, ул. Центральная</t>
  </si>
  <si>
    <t>д. Запальта, ул. Российская / 58,150798 55,748860</t>
  </si>
  <si>
    <t>35</t>
  </si>
  <si>
    <t>ул. Лесная, ул. Центральная, ул. Российская</t>
  </si>
  <si>
    <t>ул.Автомобильная, ул. Ясная поляна, ул.Луговая, ул.Ольховая, Вязов переулок, ул.Солнечная, пер.Крестьянский, ул. Весенняя, ул.Вишневая, ул.Уральская, ул.Заливные луга, пер.Юбилейный, ул.Радужная, ул.Клубничная, пер.Звездный, ул.Веселая</t>
  </si>
  <si>
    <t>д. Заречная, ул. Ясная поляна / 58,005722 55,572374</t>
  </si>
  <si>
    <t>д. Ильино / 58.164066 56.032905</t>
  </si>
  <si>
    <t>д. Ильино</t>
  </si>
  <si>
    <t>ул.Пчеловодов</t>
  </si>
  <si>
    <t>д. Калининцы, ул. Центральная / 58,104518 55,986297</t>
  </si>
  <si>
    <t>ул. Центральная</t>
  </si>
  <si>
    <t>д. Катыши</t>
  </si>
  <si>
    <t>д. Клепики, ул. Льва Давыдычева / 58,012753 55,605514</t>
  </si>
  <si>
    <t>ул. Льва Давыдычева, пер.Пешеходный, Созьвенский залив, ул.Тружеников, пер.Заячий, ул.Гознаковская</t>
  </si>
  <si>
    <t>д. Клепики, ул. Льва Давыдычева / 58,015378 55,616168</t>
  </si>
  <si>
    <t>ул. Льва Давыдычева, Березовая роща, ул.Ромашковая, ул.Олимпийская, ул.Солнечная, ул.Грушевая, ул.Золотая</t>
  </si>
  <si>
    <t>ул. Трудовая, ул. Молодежная</t>
  </si>
  <si>
    <t>д. Конец-Бор, ул. Конец-Борская / 58,072652 55,664663</t>
  </si>
  <si>
    <t>д. Кормилицы, ул. Центральная / 58,121708 55,849233</t>
  </si>
  <si>
    <t>ЗУ госуд.собств-сть не разграничена, 59:07:0670101</t>
  </si>
  <si>
    <t>15</t>
  </si>
  <si>
    <t>д. Кормилицы, ул. Центральная / 58,125943 55,854360</t>
  </si>
  <si>
    <t xml:space="preserve">ул. Зеленая </t>
  </si>
  <si>
    <t>д. Малое Шилово, ул. Центральная / 58,031593 55,600909</t>
  </si>
  <si>
    <t>ул.Центральная, ул.Малая, ул.Березовая, ул.Ручейная</t>
  </si>
  <si>
    <t>д. Малое Шилово, ул.Дачная / 58,027772 55,600876</t>
  </si>
  <si>
    <t>ул. Дачная, ул.Лесная</t>
  </si>
  <si>
    <t>ЗУ госуд.собств-сть не разграничена, 59:07:0700101</t>
  </si>
  <si>
    <t>41</t>
  </si>
  <si>
    <t>ЗУ госуд.собств-сть не разграничена Кадастровый квартал 59:07:2370104</t>
  </si>
  <si>
    <t>112</t>
  </si>
  <si>
    <t>ул. Центральная, ул. Полевая, ул. Нагорная, ул. Солнечная, ул. Кольцевая, ул. Запрудная</t>
  </si>
  <si>
    <t>40</t>
  </si>
  <si>
    <t>ул. Нагорная, ул.Рублевская</t>
  </si>
  <si>
    <t>д. Нижнее Брагино, ул. Центральная / 58,136548 55,651250</t>
  </si>
  <si>
    <t>ул.Центральная, ст.Шабуничи, ул.Трактовая</t>
  </si>
  <si>
    <t>д. Нижнее Гуляево, ул. Луговая / 58,011654 55,560348</t>
  </si>
  <si>
    <t>ул.Гуляевская, ул.Земляничная,ул.Луговая, Серебрянский проезд, Береговой спуск</t>
  </si>
  <si>
    <t>д. Никитино, ул. Центральная / 58,132537 55,849513</t>
  </si>
  <si>
    <t>д. Никитино (Мысы), ул. Трактовая / 58,056180 55,867521</t>
  </si>
  <si>
    <t>д. Новая Ивановка, ул. Ягодная / 58.111829 55.837877</t>
  </si>
  <si>
    <t>ул. Садовая, ул. Ягодная, ул. Солнечная, ул. Цветочная, ул. Радужная</t>
  </si>
  <si>
    <t>д. Осташата / 58,175619 56,111964</t>
  </si>
  <si>
    <t>д. Осташата</t>
  </si>
  <si>
    <t>д. Понылки / 58.184676 56.096050</t>
  </si>
  <si>
    <t>д. Понылки</t>
  </si>
  <si>
    <t>д. Русаки</t>
  </si>
  <si>
    <t>ЗУ госуд.собств-сть не разграничена, Кадастровый квартал 59:07:2370104</t>
  </si>
  <si>
    <t>д. Трубино / 58.291349 55.747732</t>
  </si>
  <si>
    <t>д. Трубино</t>
  </si>
  <si>
    <t>д. Фадеята, ул. Васильковая / 58,065103 55,450063</t>
  </si>
  <si>
    <t>д. Фадеята, ул. Матюжата / 58,062513 55,458789</t>
  </si>
  <si>
    <t>д. Фадеята, ул. Новая / 58,058455 55,465642</t>
  </si>
  <si>
    <t>ул. Пологая, ул. Родниковая, ул. Новая</t>
  </si>
  <si>
    <t>д. Фадеята, ул. Новая / 58,056802 55,472048</t>
  </si>
  <si>
    <t>пер. Зеленый, ул. Новостройки, ул. Энтузиастов, ул. Полевая, ул. Новая</t>
  </si>
  <si>
    <t>д. Фадеята, между ул. Надежды и ул. Молодежная / 58,057303 55,468408</t>
  </si>
  <si>
    <t>ул. Молодежная, ул. Надежды, ул. Нагорная</t>
  </si>
  <si>
    <t>д. Фадеята, ул. Лесная / 58,062838 55,465262</t>
  </si>
  <si>
    <t>ул. Лесная, пер. Рябиновый</t>
  </si>
  <si>
    <t>д. Фроловичи / 58.278065 55.971760</t>
  </si>
  <si>
    <t>д. Фроловичи</t>
  </si>
  <si>
    <t>д. Часовня / 58.264634 55.795081</t>
  </si>
  <si>
    <t>д. Часовня</t>
  </si>
  <si>
    <t>д. Большая, ул. Горная / 58,12817 55,841775</t>
  </si>
  <si>
    <t>ул. Садовая, ул. Российская, пер. Новый</t>
  </si>
  <si>
    <t>38</t>
  </si>
  <si>
    <t>ул. Садовая</t>
  </si>
  <si>
    <t>д. Хухрята, ул. Полевая / 58,072837 55,887879</t>
  </si>
  <si>
    <t>68</t>
  </si>
  <si>
    <t>Железнодорожная площадка пос. Мишкино, ул. Полевая / 58,121615 55,815078</t>
  </si>
  <si>
    <t>ЗУ госуд.собств-сть не разграничена, 59:07:0750101</t>
  </si>
  <si>
    <t>ул. Полевая, ул. Центральная, ул. Нагорная; ж/д будка 1405-й км</t>
  </si>
  <si>
    <t>пос. Подстанция / 58.172582 56.010007</t>
  </si>
  <si>
    <t>пос. Подстанция</t>
  </si>
  <si>
    <t>ул. Пушкина, ул. Речная</t>
  </si>
  <si>
    <t>д. Новоселы</t>
  </si>
  <si>
    <t>д. Осляна, ул. Садовая / 58,046260 55,899405</t>
  </si>
  <si>
    <t>Коэффициент</t>
  </si>
  <si>
    <t>ЮЛ</t>
  </si>
  <si>
    <t>СУЩ.</t>
  </si>
  <si>
    <t>Стр-во в 2020</t>
  </si>
  <si>
    <t>д. Катыши / 58.223541 55.918838</t>
  </si>
  <si>
    <t>д. Русаки / 58.227936 55.821900</t>
  </si>
  <si>
    <t>всего обслуживаемых жилых домов, ед.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</si>
  <si>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</si>
  <si>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</si>
  <si>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</si>
  <si>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</si>
  <si>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</si>
  <si>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</si>
  <si>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</si>
  <si>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</si>
  <si>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</si>
  <si>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</si>
  <si>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</si>
  <si>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</si>
  <si>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</si>
  <si>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</si>
  <si>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</si>
  <si>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</si>
  <si>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д.Антоновцы</t>
  </si>
  <si>
    <t>3.51</t>
  </si>
  <si>
    <t>3.52</t>
  </si>
  <si>
    <t>3.53</t>
  </si>
  <si>
    <t>3.54</t>
  </si>
  <si>
    <t>3.55</t>
  </si>
  <si>
    <t>3.56</t>
  </si>
  <si>
    <t>д. Бусырята, ул. Озёрная / 58,140045 55,942989</t>
  </si>
  <si>
    <t>д. Васенки, ул. Центральная / 58.130392 55.925130</t>
  </si>
  <si>
    <t>д. Никитино, ул. Центральная / 58,136853 55,846257</t>
  </si>
  <si>
    <t>д. Большая, пер. Новый, 1 / 58,122763 55,836826</t>
  </si>
  <si>
    <t>п/ст. Шабуничи, ул. Трактовая, 80 / 58.135512 55.661693</t>
  </si>
  <si>
    <t>ул. Трактовая</t>
  </si>
  <si>
    <t>пер.Зеленый, пер.Полевой, ул.Садовая, ул.Школьная, ул.Молодежная, ул.Трактовая, пер.Песчаный, ул.Полевая</t>
  </si>
  <si>
    <t>д. Новоселы, ул. Вишневая / 58.082989 56.005766</t>
  </si>
  <si>
    <t>д. Новоселы, ул. Полевая / 58.084882 56.008912</t>
  </si>
  <si>
    <t>д. Новоселы, ул. Луговая / 58.080230 56.003102</t>
  </si>
  <si>
    <t>д. Новоселы, ул. Нагорная, 17 / 58.089999 56.015635</t>
  </si>
  <si>
    <t>7</t>
  </si>
  <si>
    <t>10</t>
  </si>
  <si>
    <t>14</t>
  </si>
  <si>
    <t>Статус МНО (действующее, недействующее, ликвидировано)</t>
  </si>
  <si>
    <t>5</t>
  </si>
  <si>
    <t>действ.</t>
  </si>
  <si>
    <t>д. Большое Шилово, ул. Сюзьвенская / 58,028982 55,608133</t>
  </si>
  <si>
    <t>д. Кабанов Мыс, перед ж/д переездом в кадастровом квартале 59:07:2500102 / 58.020106 55.509610</t>
  </si>
  <si>
    <t>д. Мошево / 58.067862 55.517337</t>
  </si>
  <si>
    <t>д. Нижние Симонята, ул. Набережная, 14 / 58,101892 55,576640</t>
  </si>
  <si>
    <t>д. Нижние Симонята, ул. Набережная, 17 / 58,099101 55,571479</t>
  </si>
  <si>
    <t>д. Нижние Симонята, ул. Набережная, 7А / 58,101120 55,574290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</si>
  <si>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</si>
  <si>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</si>
  <si>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</si>
  <si>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</si>
  <si>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</si>
  <si>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</si>
  <si>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</si>
  <si>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</si>
  <si>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</si>
  <si>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</si>
  <si>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</si>
  <si>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</si>
  <si>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</si>
  <si>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</si>
  <si>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</si>
  <si>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</si>
  <si>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</si>
  <si>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3.74</t>
  </si>
  <si>
    <t>3.75</t>
  </si>
  <si>
    <t>3.76</t>
  </si>
  <si>
    <t>3.78</t>
  </si>
  <si>
    <t>3.79</t>
  </si>
  <si>
    <t>3.80</t>
  </si>
  <si>
    <t>3.81</t>
  </si>
  <si>
    <t>3.82</t>
  </si>
  <si>
    <t>3.83</t>
  </si>
  <si>
    <t>3.84</t>
  </si>
  <si>
    <t>3.85</t>
  </si>
  <si>
    <t>3.86</t>
  </si>
  <si>
    <t>3.87</t>
  </si>
  <si>
    <t>3.88</t>
  </si>
  <si>
    <t>3.89</t>
  </si>
  <si>
    <t xml:space="preserve">площадка бетонированная с металлическим ограждением из стальных труб с облицовкой профнастилом с отсеком для КГМ / 12,0
</t>
  </si>
  <si>
    <t xml:space="preserve">площадка бетонированная с металлическим ограждением из стальных труб с облицовкой профнастилом с отсеком для КГМ / 24,0
</t>
  </si>
  <si>
    <t xml:space="preserve">площадка бетонированная с металлическим ограждением из стальных труб с облицовкой профнастилом с отсеком для КГМ / 18,0
</t>
  </si>
  <si>
    <t xml:space="preserve">площадка бетонированная с металлическим ограждением из стальных труб с облицовкой профнастилом с отсеком для КГМ / 30,0
</t>
  </si>
  <si>
    <t>3.90</t>
  </si>
  <si>
    <t>щебеночное основание</t>
  </si>
  <si>
    <t xml:space="preserve">
59:07:0000000:5140 Администрация КГО</t>
  </si>
  <si>
    <t>ЗУ 59:07:0010612:5 Администрация КГО</t>
  </si>
  <si>
    <t>59:07:0011001:755 Администрция КГО</t>
  </si>
  <si>
    <t>1.135</t>
  </si>
  <si>
    <t>ООО "Пермская сетевая компания", ОГРН 1075904022644, г. Пермь, ул. Сибирская, 67</t>
  </si>
  <si>
    <t>не действ.</t>
  </si>
  <si>
    <t>ул. К. Маркса, 48,50,56,65,67,73; ул. Коммунистическая, 1а,1б</t>
  </si>
  <si>
    <t>пер.Торфяной, 1,3; ул. Коммунистическая, 3,5; ул.Бумажников, 6,8</t>
  </si>
  <si>
    <t>ул. К.Маркса,37,14,16,41,41а,14б; ул.Чапаева,24,22</t>
  </si>
  <si>
    <t>ул. К. Маркса, 47,32,45,28,26,51</t>
  </si>
  <si>
    <t>ул.Пушкина, 9,11,13; ул. К.Маркса, 42,44,46</t>
  </si>
  <si>
    <t>ул.Калинина, 6,8,10</t>
  </si>
  <si>
    <t>пр. Мира, 11,16,18</t>
  </si>
  <si>
    <t>ул. Победы, 2,3,4; ул.Энтузиастов, 19,27</t>
  </si>
  <si>
    <t>ул. Энтузиастов, 3а,5а,7а,5; ул.Февральская, 4,6,6а,8</t>
  </si>
  <si>
    <t>ул. Суворова, 3,5; ул. Калинина, 12,14</t>
  </si>
  <si>
    <t>пер.Пальтинский, 4,3а,5,3; ул. Комарова, 12,14; ул.К.Либкнехта, 2,2б</t>
  </si>
  <si>
    <t>пр. Мира, 7, 9 (квартиры с 1 по 103); ул.Большевистская, 33,33а,33б,33в; пр.Комсомольский, 8/35,10,12,14,16,18</t>
  </si>
  <si>
    <t>ул. Железнодорожная, ул. Новая, пер. Северный 1-й, пер. Северный 2-й, ул. Чкалова, ул. Н. Островского, ул. Дальняя, ул. Мичурина, пер. Водников, ул. Невская, ул. Щербакова, ул. Павлова, ул. Полевая, ул. Герцена</t>
  </si>
  <si>
    <t>пер. Гражданский, ул. Гагарина, ул. Менделеева, ул. Володарского</t>
  </si>
  <si>
    <t>ул. Железнодорожная, ул. Малая, ул. Первомайская, ул. Заводская, пер. Новый, ул. Молодежная, пер. Зеленый, пер. Песчаный</t>
  </si>
  <si>
    <t>ул. Запрудная, ул. Почтовая, ул. Нагорная, ул. Ленина, ул. Парниковая, ул. Советская, ул. Школьная, ул. Зеленая, ул. Полевая</t>
  </si>
  <si>
    <t>Верещагинская дистанция сигнализации, централизации и блокировки. Структурное подразделение Свердловской дирекции инфраструктуры - структурное подразделение Центральной дирекции инфраструктуры - филиала ОАО "РЖД", ОГРН 1037739877295, г. Верещагино, ул. Железнодорожная, 4а</t>
  </si>
  <si>
    <t>СНТ "Черемушки-2", ОГРН 1025901849379, Пермский край, территория сады Оверятского ГП</t>
  </si>
  <si>
    <t>территория СНТ "Коллективный сад "Виктория"</t>
  </si>
  <si>
    <t>территория СНТ "Черемушки-2"</t>
  </si>
  <si>
    <t>территория ТСН "Вишня № 1"</t>
  </si>
  <si>
    <t>деревянный настил / 2,0</t>
  </si>
  <si>
    <t>Муниципальное бюджетное общеобразовательное учреждение "Мысовская средняя общеобразовательная школа", ОГРН 1025901847003, Пермский край, Краснокамский ГО, с. Мысы, ул. Школьная, д. 11</t>
  </si>
  <si>
    <t>г. Краснокамск, ул. Шоссейная, д. 18</t>
  </si>
  <si>
    <t>Садовое некоммерческое товарищество "Рябинушка", ОГРН 1025901846222, Пермский край, Краснокамский ГО, поселок ж-д площадки Мишкино</t>
  </si>
  <si>
    <t>ул. Садовая, ул. Полевая, ул. Солнечная, ул. Центральная, ул.Южная, пер. Солнечный, пер.Запрудный</t>
  </si>
  <si>
    <t>бетоннозаливное покрытие с ограждением с 3-х сторон / 24,0</t>
  </si>
  <si>
    <t>ТСЖ "Пушкина, 16", ОГРН 1115916000100, г. Краснокамск, ул. Пушкина, 17</t>
  </si>
  <si>
    <t>ООО "УК "Уютный Дом ДТА", ОГРН 1115907001374, г. Пермь, ул.Рабкоровская, 24</t>
  </si>
  <si>
    <t>ООО "Краснокамский завод ЖБК", ОГРН 1125904001090, г. Пермь, ул. Василия Васильева, д. 3, офис 6</t>
  </si>
  <si>
    <t>Общество с ограниченной ответственностью "Виктория", ОГРН 1125904018877, г.Пермь, ул. Героев Хасана, д. 100, офис 56</t>
  </si>
  <si>
    <t>Общество с ограниченной ответственностью "Агроторг", ОГРН 1027809237796, индекс 191025, г.Санкт Петербург, Невский проспект, 90/93</t>
  </si>
  <si>
    <t>ПАО "Т Плюс" филиала "Пермский" Закамская ТЭЦ-5, ОГРН 1056315070350, 617060, Пермский край, г.Краснокамск, ул. Коммунистическая, 45</t>
  </si>
  <si>
    <t>Муниципальное автономное общебразовательное учреждение "Средняя общеобразовательная школа № 3", ОГРН 1025901844825, Пермский край, г.Краснокамск, ул. Комарова, д.8</t>
  </si>
  <si>
    <t>Публичное акционерное общество "Краснокамский завод металлических сеток", ОГРН 1025901844132,г. Краснокамск, ул. Шоссейная, 24</t>
  </si>
  <si>
    <t>Общество с ограниченной ответственностью "Газпромнефть-Центр", 1027739602824, г. Екатеринбург, Сибирский тракт, 12, стр. 2</t>
  </si>
  <si>
    <t>Общество с ограниченной ответственностью "Лотос", ОГРН 1115916000199, Пермский край, г. Краснокамск, пр. Маяковского, д. 4</t>
  </si>
  <si>
    <t>Муниципальное автономное общеобразовательное учреждение "Гимназия № 5", ОГРН 1025901846794, Пермский край, г. Краснокамск, ул. Энтузиастов, 16</t>
  </si>
  <si>
    <t>Муниципальное автономное дошкольное образовательное учреждение "Детский сад № 49", ОГРН 1025901847597, Пермский край, г. Краснокамск, Рождественский проезд, д. 6</t>
  </si>
  <si>
    <t>Муниципальное бюджетное общеобразовательное учреждение "Майская средняя общеобразовательная школа", ОГРН 1025901846090, Пермский край, п. Майский, ул. Центральная, д. 6</t>
  </si>
  <si>
    <t>Муниципальное бюджетное общеобразовательное учреждение "Средняя общеобразовательная школа № 11" г. Краснокамска, ОГРН 1025901847817, Пермский край, п. Оверята, ул. Строителей, д. 6</t>
  </si>
  <si>
    <t>Муниципальное автономное общеобразовательное учреждение "Средняя общеобразовательная школа № 2" г. Краснокамска, ОГРН 1025901844650, Пермский край, г. Краснокамск, ул. Коммунистическая, д. 17</t>
  </si>
  <si>
    <t>Муниципальное автономное общеобразовательное учреждение "Гимназия № 5", ОГРН 1025901846794, Пермский край, г. Краснокамск, ул. Энтузиастов, д. 16</t>
  </si>
  <si>
    <t>Муниципальное бюджетное дошкольное образовательное учреждение "Детский сад № 40", ОГРН 1145958023540, Пермский край, Краснокамский ГО, п Майский, ул. Южная, д. 11</t>
  </si>
  <si>
    <t>Муниципальное автономное общеобразовательное учреждение "Средняя общеобразовательная школа № 10", ОГРН 1025901848070, Пермский край, г. Краснокамск, ул. Чапаева, 36</t>
  </si>
  <si>
    <t>Муниципальное бюджетное дошкольное образовательное учреждение "Детский сад № 7", ОГРН 1145958023507, Пермский край, Краснокамский ГО, п. Майский, ул. Центральная, д. 8</t>
  </si>
  <si>
    <t>Муниципальное бюджетное общеобразовательное учреждение "Основная общеобразовательная школа № 7" г. Краснокамска, ОГРН 1025901846915, Пермский край, г. Краснокамск, ул. Советская, д. 30</t>
  </si>
  <si>
    <t>Общество с ограниченной ответственностью "Старт", ОГРН 1095904007957, Пермский край, г. Краснокамск, пр-т Комсомольский, д. 22</t>
  </si>
  <si>
    <t>Общество с ограниченной ответственностью "ЭлекООН-Медтехника", ОГРН 1025901846189, Пермский край, г. Краснокамск, ул. Коммунистическая, д. 43</t>
  </si>
  <si>
    <t>Муниципальное автономное общеобразовательное учреждение"Средняя общеобразовательная школа № 4", ОГРН 1025901847036, Пермский край, г. Краснокамск, ул. 50 лет Октября, д. 6</t>
  </si>
  <si>
    <t>Муниципальное бюджетное общеобразовательное учреждение "Конец-Борская основная общеобразовательная школа", ОГРН 1025901847652, Пермский край, г. Краснокамск, ул. Циолковского, д. 3</t>
  </si>
  <si>
    <t>Муниципальное автономное учреждение "Спортивная школа п. Майский", ОГРН 1025901847311, Пермский край, Краснокамский ГО, п. Майский, ул. Северная, д. 3</t>
  </si>
  <si>
    <t>Общество с ограниченной ответственностью "Петройл", ОГРН 1156679001896, индекс 620073, обл. Свердловская, г. Екатеринбург, ул. Крестинского, д. 44, офис 118</t>
  </si>
  <si>
    <t>Общество с ограниченной ответственностью "ПермИнженирингГрупп", ОГРН 1105904009023, индекс 614025, г. Пермь, ул. Нейвинская, д. 10, корпус А, офис 34</t>
  </si>
  <si>
    <t>Акционерное общество "Коммунальные электрические сети Краснокамского муниципального района", ОГРН 1165958089571, Пермский край, г. Краснокамск, ул. Коммунистическая, д. 19</t>
  </si>
  <si>
    <t>Общество с ограниченной ответственностью "Производственная компания Лес", ОГРН 1165958065789, г. Пермь, ул. Монастырская, д. 12А, офис 319</t>
  </si>
  <si>
    <t>Акционерное общество "Пермтрансжелезобетон", ОГРН 1025901845001, Пермский край, Краснокамский городской округ, пгт. Оверята, ул. Комсомольская, 3</t>
  </si>
  <si>
    <t>Общество с ограниченной ответственностью "Санаторий-профилакторий "Вита", ОГРН 1025901843846, Пермский край, г. Краснокамск, ул. Комарова, д.3</t>
  </si>
  <si>
    <t>Общество с ограниченной ответственностью "Пермгеокабель", ОГРН 1025901513550, Пермский край, г. Краснокамск, ул. Геофизиков, д. 14, корпус 3</t>
  </si>
  <si>
    <t>Общество с ограниченной ответственностью "РегионЭкоСервис", ОГРН 1075904003757, Пермский край, г. Пермь, ул. Челюскинцев, д. 14, 14а, офис 5</t>
  </si>
  <si>
    <t>Государственное бюджетное профессиональное учреждение "Краснокамский политехнический техникум", ОГРН 1155958095490, Пермский край, г. Краснокамск, ул. Пушкина, д. 16</t>
  </si>
  <si>
    <t>Тетерин Константин Геннадьевич, ОГРНИП 304591636500331</t>
  </si>
  <si>
    <t>Хохряков Андрей Сергеевич, ИНН 591601517685</t>
  </si>
  <si>
    <t>Суворин  Леонид Владиславович, ОГРНИП 304590224600059</t>
  </si>
  <si>
    <t>Клейменова Елена Владимировна, ИНН 591603669891</t>
  </si>
  <si>
    <t>Бабина Ольга Егоровна, ИНН 591603211607</t>
  </si>
  <si>
    <t>п/ст. Шабуничи, ул. Трактовая, 12 / 58,139743 55,688845</t>
  </si>
  <si>
    <t>СНТ "Рябинушка", ОГРН 1025901846222, Пермский край, Краснокамский ГО, поселок ж-д площадки Мишкино</t>
  </si>
  <si>
    <t>СНТ "Лесной", ОГРН 1025901845056, Пермский край, Краснокамский городской округ, д. Мошни</t>
  </si>
  <si>
    <t>НСТ "Строитель-1", ОГРН 1025901849676, Пермский край, г. Краснокамск, мкр. Запальта</t>
  </si>
  <si>
    <t>2.103</t>
  </si>
  <si>
    <t xml:space="preserve"> кадастровый номер квартала   59:07:1510305</t>
  </si>
  <si>
    <t>площадка бетонная плита с ограждением / 20,0</t>
  </si>
  <si>
    <t>ТСН "СНТ "Луч-33", ОГРН 1025901845221, Пермский край, район Краснокамский, территория СНТ "Луч-33" (Алешиха)</t>
  </si>
  <si>
    <t>Товарищество собственников недвижимости "Садовое некоммерческое товарищество "Луч-33", ОГРН 1025901845221, Пермский край, район Краснокамский, территория СНТ "Луч-33" (Алешиха)</t>
  </si>
  <si>
    <t>территория СНТ "Рябинушка"</t>
  </si>
  <si>
    <t>территория СНТ "Лесной"</t>
  </si>
  <si>
    <t>территория НСТ "Строитель-1"</t>
  </si>
  <si>
    <t>массив Алешиха, территория СНТ "Луч-33" / 58,269 56,055</t>
  </si>
  <si>
    <t>3.91</t>
  </si>
  <si>
    <t>д. Якунята</t>
  </si>
  <si>
    <t>д. Якунята / 58,166911 55,928913</t>
  </si>
  <si>
    <t>п. Ласьва, ул. Ласьвинская, 1 / 58.078377 55.976147</t>
  </si>
  <si>
    <t>п. Ласьва, ул. Ласьвинская, 1 / 58,078419 55,976286</t>
  </si>
  <si>
    <t>п. Ласьва, ул. Центральная, 14Б / 58,079753 55,970555</t>
  </si>
  <si>
    <t xml:space="preserve">площадка бетонированная с металлическим ограждением из стальных труб с облицовкой профнастилом / 12,0
</t>
  </si>
  <si>
    <t>ЗУ госуд.собств-сть не разграничена, кадастровый квартал 59:07:0030103</t>
  </si>
  <si>
    <t>г. Краснокамск, ул. К. Маркса, 54 /58.088269, 55.762113</t>
  </si>
  <si>
    <t>г. Краснокамск, пер. Торфяной, 1 / 58.087876 55.762980</t>
  </si>
  <si>
    <t>п. Майский, ул. Центральная, 4 (между МКД № 4 по ул. Центральная и № 2 по ул. Красногорская) / 58.105879 55.570915</t>
  </si>
  <si>
    <t>Хохряков Андрей Сергеевич, паспорт 5703 024480 Краснокамским ГОВД Пермской обл., выдан 07.05.2020, ИНН 591601517685, г. Краснокамск, ул. Полевая, д. 7</t>
  </si>
  <si>
    <t>Кузнецов Роман Евгеньевич, ОГРНИП 319595800023588, г. Пермь, ул. Ласьвинская, д. 37</t>
  </si>
  <si>
    <t>Вавилин Алексей Павлович, ИНН 590800318354, паспорт 5715 352897, выдан ОУФМС России по Пермскому краю в Кировском районе г. Перми 04.08.2015, г. Пермь, ул. Охотников, д. 18, кв. 10</t>
  </si>
  <si>
    <t>Вавилин Алексей Павлович, ИНН 590800318354, с. Мысы, ул. Пролетарская, д. 46</t>
  </si>
  <si>
    <t>Муравьева Наталья Наильевна, ОГРНИП 304590829500122</t>
  </si>
  <si>
    <t>Муравьева Наталья Наильевна, ОГРНИП 304590829500122, г. Пермь, ул. Кировоградская, д. 6, кв. 92</t>
  </si>
  <si>
    <t>Кузнецов Роман Евгеньевич, ОГРНИП 319595800023588, г. Пермь, ул. Кировоградская, д. 52, кв. 43</t>
  </si>
  <si>
    <t>Рубцов Дмитрий Георгиевич, ОГРНИП 306590333900024</t>
  </si>
  <si>
    <t>Рубцов Дмитрий Георгиевич, ОГРНИП 306590333900024, г. Пермь, ул. Плеханова, д. 12, кв. 80</t>
  </si>
  <si>
    <t>Бабина Ольга Егоровна, паспорт 5704 223818, выдан Краснокамским ГОВД Пермской обл. 16.10.2003, ИНН 591603211607, Пермский край, г. Краснокамск, ул. Звездная, д. 4, кв. 25</t>
  </si>
  <si>
    <t>Русинова Олеся Александровна, ОГРНИП 319595800097860</t>
  </si>
  <si>
    <t>Гайдалас Тамара Николаевна, ОГРНИП 307591613400013</t>
  </si>
  <si>
    <t>Гайдалас Тамара Николаевна, ОГРНИП 307591613400013, г. Краснокамск, ул. Крупской, д. 4а, кв. 10</t>
  </si>
  <si>
    <t>Русинова Олеся Александровна, ОГРНИП 319595800097860, Пермский край, г. Кунгур, ул. Ситникова, д. 78, кв. 49</t>
  </si>
  <si>
    <t>Клейменова Елена Владимировна, паспорт 5711 765543, выдан Отделением УФМС России по Пермскому краю в г. Краснокамске 18.11.2011, ИНН 591603669891, Пермский край, г. Краснокамск, ул. Калинина, д. 12, кв. 57</t>
  </si>
  <si>
    <t>3.92</t>
  </si>
  <si>
    <t>ул. Заводская, 20а,21в,23,25,32</t>
  </si>
  <si>
    <t>ул. Заводская, 19,21,24,30</t>
  </si>
  <si>
    <t>ул. Заводская, 4,5,6,13,15,17</t>
  </si>
  <si>
    <t>ул. Заводская, 8,20</t>
  </si>
  <si>
    <t>площадь водонепроницаемого основания, кв.м.</t>
  </si>
  <si>
    <t>площадь прилегающей территории, кв.м.</t>
  </si>
  <si>
    <t>площадь ветрозащитного ограждения с 2-х сторон, кв.м.</t>
  </si>
  <si>
    <t>2139,2146,2140</t>
  </si>
  <si>
    <t>2.104</t>
  </si>
  <si>
    <t>2.105</t>
  </si>
  <si>
    <t>г. Краснокамск, пр-т Комсомольский, д. 20 / 58,080278 55,752650</t>
  </si>
  <si>
    <t>ЗУ 59:07:0010606:81</t>
  </si>
  <si>
    <t>асфальтированная площадка с ограждением с 3-х сторон / 17,5</t>
  </si>
  <si>
    <t>Общество с ограниченной ответственностью "Производственно-Строительная компания "Кармента", ОГРН 1065903039069, Пермский край, г. Пермь, ул. Трамвайная, 14</t>
  </si>
  <si>
    <t>г. Краснокамск, пр-т Комсомольский, д. 20</t>
  </si>
  <si>
    <t>г. Краснокамск, ул. Промышленная, 4 / 58,0800 55,7839</t>
  </si>
  <si>
    <t>ЗУ 59:07:0010905:0043</t>
  </si>
  <si>
    <t>асфальтированная площадка с ограждением с 3-х сторон / 22,4</t>
  </si>
  <si>
    <t>2222, 2459, 2440, 2463, 2438-сломано 1 колесо, 2461, 2424, 2458, 2464 (03.10.2020)</t>
  </si>
  <si>
    <t>Общество с ограниченной ответственностью "Производственная фирма "Сокол", ОГРН 1065908028273, Пермский край, г. Краснокамск, ул. Промышленная, д. 4</t>
  </si>
  <si>
    <t>г. Краснокамск, ул. Промышленная, д. 4</t>
  </si>
  <si>
    <t>2.106</t>
  </si>
  <si>
    <t>г. Краснокамск, ул. Шоссейная, д. 59 / 58,069435 55,791580</t>
  </si>
  <si>
    <t>ЗУ 59:07:0010801:207</t>
  </si>
  <si>
    <t>асфальтированная площадка с ограждением с 3-х сторон / 7,6</t>
  </si>
  <si>
    <t>г. Краснокамск, ул. Шоссейная, д. 59</t>
  </si>
  <si>
    <t>2.107</t>
  </si>
  <si>
    <t>д. Брагино, территория СНТ "Оптимист"</t>
  </si>
  <si>
    <t>д. Брагино, территория СНТ "Оптимист" / 58,161174 55,861275</t>
  </si>
  <si>
    <t>ЗУ 59:07:1640203:1</t>
  </si>
  <si>
    <t>бетонно-заливное основание с ограждением с 3-х сторон / 24,0</t>
  </si>
  <si>
    <t>Садовое некоммерческое товарищество "Оптимист", ОГРН 1025901848060, Пермский край, Краснокамский городской округ, д. Брагино</t>
  </si>
  <si>
    <t>2.108</t>
  </si>
  <si>
    <t>г. Краснокамск, ул. Промышленная, 29</t>
  </si>
  <si>
    <t>г. Краснокамск, ул. Промышленная, 29 / 58,086371 55,800666</t>
  </si>
  <si>
    <t>в границах КК 59:07:0011206 на землях, государственная собственность на которые не разграничена, южнее ЗУ 59:07:0011223:85</t>
  </si>
  <si>
    <t>бетонно-заливное основание с ограждением с 3-х сторон / 12,0</t>
  </si>
  <si>
    <t>Товарищество собственников недвижимости "Садовое некоммерческое товарищество "Игрушка", ОГРН 1025901845947, Пермский край, г. Краснокамск, ул. Промышленная, 29</t>
  </si>
  <si>
    <t>Общество с ограниченной ответственностью Торговый дом "Единство", ОГРН 1055905529866, Пермский край, Краснокамский ГО, пгт. Оверята, ул. Комсомольская, д. 11</t>
  </si>
  <si>
    <t>информация отсутствует</t>
  </si>
  <si>
    <t xml:space="preserve">площадка бетонированная с металлическим ограждением из стальных труб с облицовкой профнастилом с отсеком для КГМ / 32,0
</t>
  </si>
  <si>
    <t>г. Краснокамск, ул. Энтузиастов, 11 / 58.086405 55.771874</t>
  </si>
  <si>
    <t>г. Краснокамск, ул. Чапаева, 61 / 58.087278 55.751517</t>
  </si>
  <si>
    <t>ЗУ 59:07:0010611:1385 МС</t>
  </si>
  <si>
    <t>г. Краснокамск, ул. Февральская, 6 / 58.085013 55.771027</t>
  </si>
  <si>
    <t>д. Екимята / 58,175714 56,062008</t>
  </si>
  <si>
    <t>д. Даньки, ул. Трактовая / 58,133845 55,751072</t>
  </si>
  <si>
    <t xml:space="preserve">площадка бетонированная с металлическим ограждением из стальных труб с облицовкой профнастилом с отсеком для КГМ / 323,0
</t>
  </si>
  <si>
    <t>д. Семичи (ЗУ 59:07:270101:443)</t>
  </si>
  <si>
    <t>д. Семичи: ул. Заречная, ул. Центральная, ул. Подгорная, ул. Полевая; пгт.Оверята: ул.Полевая, ул. Линейная</t>
  </si>
  <si>
    <t>д. Новоселы, ул. Южная, 24 / 58,086280 56,013553</t>
  </si>
  <si>
    <t>ул. Полевая, ул. Молодежная, ул. Набережная, ул. Южная, ул. Центральная, ул. Восточная, ул.Летняя, пер. Летний, ул. Подгорная</t>
  </si>
  <si>
    <t>д. Новоселы, ул. Нагорная, 5 / 58,089989 56,009918</t>
  </si>
  <si>
    <t>г. Краснокамск, ул. Южная, 138 / 58,074150 55,666909</t>
  </si>
  <si>
    <t>г. Краснокамск, ул. Южная, ул. Циолковского; д. Конец-Бор, ул. Конец-Борская, ул.Береговая, ул.Тепличная</t>
  </si>
  <si>
    <t>3.93</t>
  </si>
  <si>
    <t>д. Батуры / 58,182855 55,907559</t>
  </si>
  <si>
    <t>3.94</t>
  </si>
  <si>
    <t>3.95</t>
  </si>
  <si>
    <t>с. Усть-Сыны, ул. Речная, 36 / 58.043869 55.572349</t>
  </si>
  <si>
    <t>с. Усть-Сыны, ул. Речная, 36 (Церковь Илии Пророка)</t>
  </si>
  <si>
    <t xml:space="preserve">ул. Речная, ул. Культуры </t>
  </si>
  <si>
    <t>3.96</t>
  </si>
  <si>
    <t>с. Усть-Сыны, ул. Речная, 23 (ФАП)</t>
  </si>
  <si>
    <t>ул. Речная, ул. Тихая</t>
  </si>
  <si>
    <t>с. Усть-Сыны, ул.Пушкина / 58.045052 55.575975</t>
  </si>
  <si>
    <t>с. Усть-Сыны, ул. Совхозная, 2 / 58,039895 55,570373</t>
  </si>
  <si>
    <t>с. Усть-Сыны, ул. Совхозная, 10 / 58.041223 55.573109</t>
  </si>
  <si>
    <t>искл.</t>
  </si>
  <si>
    <t>3.97</t>
  </si>
  <si>
    <t>57</t>
  </si>
  <si>
    <t>ул. Совхозная, 2,4,6,8,8а,10,12,  ул. Октябрьская, 1</t>
  </si>
  <si>
    <t>ул. Тихая, ул. Культуры, ул. Речная, ул. Светлая</t>
  </si>
  <si>
    <t>─—; 00000000000680</t>
  </si>
  <si>
    <t>3.98</t>
  </si>
  <si>
    <t>ул. Толстого, ул. Советская, пер. Береговой, ул. Некрасова</t>
  </si>
  <si>
    <t>2.109</t>
  </si>
  <si>
    <t>п. ж-д площадки Мишкино, Сад "Мишкино-5" / 58,124146 55,811101</t>
  </si>
  <si>
    <t>в границах КК 59:07:2330302 на землях общего пользования СНТ</t>
  </si>
  <si>
    <t xml:space="preserve">Садовое некоммерческое товарищество "Мишкино-5", ОГРН 1025901849247, Пермский край, Краснокамский городской округ, п. ж-д Мишкино </t>
  </si>
  <si>
    <t>п. ж-д Мишкино, территория Сада "Мишкино-5"</t>
  </si>
  <si>
    <t xml:space="preserve">бетонно-заливное основание с ограждением с 3-х сторон для ТКО / 15,0; для КГМ / 5,0                                                  </t>
  </si>
  <si>
    <t>ООО "ТрансЭкоСервис", ОГРН 1125903004787, г. Пермь, ул. Братская, д. 135/3, офис 1; ПК ГУП "Теплоэнерго", ОГРН 1135903000364, г. Пермь, ул. Монастырская, д. 4</t>
  </si>
  <si>
    <t>2136,2141,2142,2172,2164,2154 - на МУП КВ</t>
  </si>
  <si>
    <t>2153, 2155, 2173, 2174, 2162, 2157 - на МУП КВ</t>
  </si>
  <si>
    <t>2158,2137,2138, 2182 - на МУП КВ</t>
  </si>
  <si>
    <t>2176,2160,2161 - на МУП КВ</t>
  </si>
  <si>
    <t>8,0                                                  1,1</t>
  </si>
  <si>
    <t>ООО "ТрансЭкоСервис", ОГРН 1125903004787, г. Пермь, ул. Братская, д. 135/3, офис 2;                                            АО "Тандер", ОГРН 1022301598549, г.Краснодар, ул. Леваневского, 185</t>
  </si>
  <si>
    <t>ул. Коммунистическая, 12 (магазин "Магнит") нежилое помещение S= 378,8 кв.м.</t>
  </si>
  <si>
    <t>г. Краснокамск, ул. Белинского / 58,0562 55,8093</t>
  </si>
  <si>
    <t>2.110</t>
  </si>
  <si>
    <t>г. Краснокамск, ул. Трубная, д. 4 / 58,0942 55,7869</t>
  </si>
  <si>
    <t>ЗУ 59:07:0011004:457 ООО "КРМЗ"</t>
  </si>
  <si>
    <t>Общество с ограниченной ответственностью "Краснокамский ремонтно-механический завод", ОГРН 1025901844011, Пермский край, г. Краснокамск, ул. Трубная, д.4</t>
  </si>
  <si>
    <t>г. Краснокамск, ул. Трубная, д. 4</t>
  </si>
  <si>
    <t>бетонная плита с ограждением с 3-х сторон /100,0</t>
  </si>
  <si>
    <t>2.111</t>
  </si>
  <si>
    <t>г. Краснокамск, ул. Трубная, д. 3А</t>
  </si>
  <si>
    <t>г. Краснокамск, ул. Трубная, д. 3А / 58,089337 55,793872</t>
  </si>
  <si>
    <t>бетонная плита с ограждением с 3-х сторон / 8,4</t>
  </si>
  <si>
    <t>Общество с ограниченной ответственностью "УРБ", ОГРН 1145916000031, Пермский край, г. Краснокамск, ул. Трубная, д. 3А</t>
  </si>
  <si>
    <t>ЗУ 59:07:0011004:209 ООО "ТД "УРБ", ОГРН 1125916000891</t>
  </si>
  <si>
    <t>Общество с ограниченной ответственностью управляющая компания "Пермтрансжелезобетон", ОГРН 1065916002679, Краснокамский городской округ, рп. Оверята, ул. Комсомольская, д. 8, корпус А, офис 1</t>
  </si>
  <si>
    <t>СНТ "Коллективный сад "Виктория", ОГРН 1035901547483, Пермский край, рп. Оверята, СНТ Виктория</t>
  </si>
  <si>
    <t>ТСН "Вишня № 1", ОГРН 1025901849093, Пермский край, Краснокамский район, рп. Оверята</t>
  </si>
  <si>
    <t>Муниципальное бюджетное общеобразовательное учреждение "Средняя общеобразовательная школа № 11" г. Краснокамска, ОГРН 1025901847817, Пермский край, рп. Оверята, ул. Строителей, д. 5</t>
  </si>
  <si>
    <t>Акционерное общество "Пермтрансжелезобетон", ОГРН 1025901845001, Пермский край, Краснокамский городской округ, рп. Оверята, ул. Комсомольская, 2</t>
  </si>
  <si>
    <t>рп. Оверята, ул. Линейная, 9</t>
  </si>
  <si>
    <t>рп. Оверята, ул. Комсомольская, д. 12/1</t>
  </si>
  <si>
    <t>рп. Оверята, ул. Строителей, д. 5</t>
  </si>
  <si>
    <t>рп. Оверята, ул. Комсомольская, д. 12а</t>
  </si>
  <si>
    <t>рп. Оверята, ул. Кирпичная, д. 13а</t>
  </si>
  <si>
    <t>рп. Оверята, ул. Линейная, 1</t>
  </si>
  <si>
    <t>рп. Оверята, ул. Комсомольская, 2</t>
  </si>
  <si>
    <t>00000000000560; 18002</t>
  </si>
  <si>
    <t>Администрация Краснокамского городского округа; ПК ГУП "Теплоэнерго"</t>
  </si>
  <si>
    <t>новый покупка в 2018 году; 18003</t>
  </si>
  <si>
    <t>3.99</t>
  </si>
  <si>
    <t>д. Нижние Симонята / 58.101274 55.572911</t>
  </si>
  <si>
    <t>ул. Набережная</t>
  </si>
  <si>
    <t xml:space="preserve">площадка бетонированная с металлическим ограждением из стальных труб с облицовкой профнастилом с отсеком для КГМ / 19,5
</t>
  </si>
  <si>
    <t>2.112</t>
  </si>
  <si>
    <t>с. Усть-Сыны (в границах ЗУ 59:07:0470102:36) / 58,050991 55,588568</t>
  </si>
  <si>
    <t>ЗУ 59:07:0470102:36 ООО "Труженик", ОГРН 1115916000397</t>
  </si>
  <si>
    <t>бетонная плита с ограждением с 3-х сторон / 7,1</t>
  </si>
  <si>
    <t>Общество с ограниченной ответственностью строительно-производственная компания "Зеленый город", ОГРН 1037825036567, г.Санкт-Петербург, Ленинский пр., д. 140, литера Е.</t>
  </si>
  <si>
    <t>р.п. Оверята, ул. Молодежная, 2 / 58,080298 55,870708</t>
  </si>
  <si>
    <t>р.п. Оверята, ул. Комсомольская, 13 / 58,079012 55,872080</t>
  </si>
  <si>
    <t xml:space="preserve">бетонная плита с ограждением с 3-х сторон с отсеком для КГМ / 13,3
</t>
  </si>
  <si>
    <t>ООО УК "Заводской", ОГРН 1145958044210, Пермский край, г. Краснокамск, ул. Ленина, д.1, офис 1</t>
  </si>
  <si>
    <t>ул. Строителей, 8,10; ул. Комсомольская, 9,10</t>
  </si>
  <si>
    <t>ул. Молодежная, 2</t>
  </si>
  <si>
    <t>ул. Комсомольская, 13, 14, 15</t>
  </si>
  <si>
    <t>г. Краснокамск, ул. Павлика Морозова, 8 / 58.069891, 55.802242</t>
  </si>
  <si>
    <t>г. Краснокамск, ул. Максима Горького / 58.070705, 55.803453</t>
  </si>
  <si>
    <t>2.113</t>
  </si>
  <si>
    <t>2.114</t>
  </si>
  <si>
    <t>г. Краснокамск, ул. Звездная, д. 1 / 58,084468 55,784268</t>
  </si>
  <si>
    <t>ЗУ 59:07:0011005:77 ООО "Мегасервис", ОГРН 1065916018079</t>
  </si>
  <si>
    <t xml:space="preserve">асфальтированная площадка с ограждением с 3-х сторон / 15,0 </t>
  </si>
  <si>
    <t>Общество с ограниченной ответственностью "Мегасервис", ОГРН 1065916018079, Пермский край, г. Краснокамск, ул. Звездная, д. 1</t>
  </si>
  <si>
    <t>г. Краснокамск, ул. Звездная, д. 1, литера Е</t>
  </si>
  <si>
    <t>г. Краснокамск, ул. Звездная, д. 1 / 58,083602 55,784398</t>
  </si>
  <si>
    <t>г. Краснокамск, ул. Звездная, д. 1, литера Ж</t>
  </si>
  <si>
    <t>д. Мошни / 58.089071 55.957270</t>
  </si>
  <si>
    <t>г. Краснокамск, Рябиновый проезд, 5 / 58.078990 55.716814</t>
  </si>
  <si>
    <t>д. Кузнецы, ул. Зеленая / 58,051579  55,583584</t>
  </si>
  <si>
    <t>д. Никитино (с. Мысы), ул. Подлесная / 58.057388 55.862875</t>
  </si>
  <si>
    <t>2.115</t>
  </si>
  <si>
    <t>г. Краснокамск, ул. Владимира Кима, д. 10 / 58,064128 55,824419</t>
  </si>
  <si>
    <t>ЗУ 59:07:0011502:210 АО "КЭЛМИ", ОГРН 1025901843538</t>
  </si>
  <si>
    <t>асфальтированная площадка с ограждением с 3-х сторон / 20,0</t>
  </si>
  <si>
    <t>Акционерное общество "КЭЛМИ", ОГРН 1025901843538, Пермский край, г. Краснокамск, ул. Владимира Кима, д. 10</t>
  </si>
  <si>
    <t>г. Краснокамск, ул. Владимира Кима, д. 10 (здание АБК)</t>
  </si>
  <si>
    <t>2.116</t>
  </si>
  <si>
    <t>р.п. Оверята, территория ТСН СНТ "Коллективный сад "Авторемонтник" / 58,1050 55,8652</t>
  </si>
  <si>
    <t>КК 59:07:2370303, ТСН СНТ "КС "Авторемонтник", ОГРН 1035901549606</t>
  </si>
  <si>
    <t>бетонная плита с ограждением с 3-х сторон / 22,0</t>
  </si>
  <si>
    <t>Товарищество собственников недвижимости Садоводческого некоммерческого товарищество "Коллективный сад "Авторемонтник", ОГРН 1035901549606, Пермский край, Краснокамский городской округ, р.п. Оверята</t>
  </si>
  <si>
    <t xml:space="preserve">р.п. Оверята, территория ТСН СНТ "Коллективный сад "Авторемонтник" </t>
  </si>
  <si>
    <t>2.117</t>
  </si>
  <si>
    <t>г. Краснокамск, ул. Геофизиков, д. 6</t>
  </si>
  <si>
    <t>г. Краснокамск, ул. Геофизиков, д. 6 / 58,079868 55,758153</t>
  </si>
  <si>
    <t>ЗУ 59:07:0010608:33 ООО "Приоритет", ОГРН 1185958004759</t>
  </si>
  <si>
    <t>Общество с ограниченной ответственностью "Приоритет", ОГРН 1185958004759, Пермский край, г. Краснокамск, ул. Геофизиков, д. 6, офис 201</t>
  </si>
  <si>
    <t>бетонная плита с ограждением с 3-х сторон / 30,0</t>
  </si>
  <si>
    <t>УК</t>
  </si>
  <si>
    <t>Рябиновый проезд, 4,5; ул. Калинина, 22; ул. Декабристов, 25</t>
  </si>
  <si>
    <t>2.118</t>
  </si>
  <si>
    <t>ЗУ 59:07:2400101:56 ИП Белозеров Ю.И., ОГРНИП 304590326400047</t>
  </si>
  <si>
    <t>бетонная плита с ограждением с 3-х сторон / 9,0</t>
  </si>
  <si>
    <t>Краснокамский городской округ, с правой стороны дороги Казань-Пермь (отворот на Мысы), здание АГЗС</t>
  </si>
  <si>
    <t>Белозеров Юрий Иванович, ОГРНИП 304590326400047, паспорт 5705 780416, выдан ОВД Дзержинского района г. Перми, дата выдачи 18.11.2005, адрес регистрации: Пермский край, г. Пермь, ул. Куфонина, д. 21, кв. 29</t>
  </si>
  <si>
    <t>Белозеров Юрий Иванович, ОГРНИП 304590326400047</t>
  </si>
  <si>
    <t>2.119</t>
  </si>
  <si>
    <t>г. Краснокамск, ул. Трубная, д. 7 / 58°05'30.4"N 55°47'06.7"E</t>
  </si>
  <si>
    <t>ЗУ 59:07:0011004:26 ООО "КПК", ОГРН 1115906004830</t>
  </si>
  <si>
    <t>асфальтированная площадка с ограждением с 3-х сторон / 15,0</t>
  </si>
  <si>
    <t>Общество с ограниченной ответственностью "Краснокамский полиграфический комбинат", ОГРН 1115906004830, Пермский край, г. Краснокамск, ул. Трубная, д. 7</t>
  </si>
  <si>
    <t>г. Краснокамск, ул. Трубная, д. 7</t>
  </si>
  <si>
    <t>3.100</t>
  </si>
  <si>
    <t>3.101</t>
  </si>
  <si>
    <t>3.102</t>
  </si>
  <si>
    <t>3.103</t>
  </si>
  <si>
    <t>4</t>
  </si>
  <si>
    <t>3.104</t>
  </si>
  <si>
    <t>г. Краснокамск, ул. Энтузиастов, 6 / 58,086359 55,766705</t>
  </si>
  <si>
    <t>ЗУ 59:07:0011008:1118 собственники МКД</t>
  </si>
  <si>
    <t>г. Краснокамск, ул. Энтузиастов, 10 / 58,087206 55,769176</t>
  </si>
  <si>
    <t>ЗУ 59:07:0011008:1119 собственники МКД</t>
  </si>
  <si>
    <t>ЗУ 59:07:0011002:8 собственники МКД</t>
  </si>
  <si>
    <t>ЗУ госуд.собств-сть не разграничена, кадастровый квартал 59:07:0011001</t>
  </si>
  <si>
    <t>ЗУ госуд.собств-сть не разграничена, кадастровый квартал 59:07:0011003</t>
  </si>
  <si>
    <t>403</t>
  </si>
  <si>
    <t>г.Краснокамск,  ул. Бумажников, ГСК № 44</t>
  </si>
  <si>
    <t>ул. Энтузиастов, 6,8; ул. Коммунальная, 2, 7</t>
  </si>
  <si>
    <t>ул. Энтузиастов, 10,12; ул. Коммунальная, 9</t>
  </si>
  <si>
    <t>демонтаж</t>
  </si>
  <si>
    <t>ул. Коммунистическая, 10а,8,10,12,13,14,15; ул.Бумажников, 5; ул.Пушкина, 23</t>
  </si>
  <si>
    <t>ул. Бумажников, 22,24,26,30,32,34,36, 35,37,39,41,43,45,47</t>
  </si>
  <si>
    <t>пер. Новый</t>
  </si>
  <si>
    <t>количество человек</t>
  </si>
  <si>
    <t>прописано</t>
  </si>
  <si>
    <t>проживает</t>
  </si>
  <si>
    <t>номер дома</t>
  </si>
  <si>
    <t>ул. Кооперативная</t>
  </si>
  <si>
    <t>ул. Коммунальная</t>
  </si>
  <si>
    <t>пер. Коммунальный</t>
  </si>
  <si>
    <t>21а</t>
  </si>
  <si>
    <t>пер. Песчаный</t>
  </si>
  <si>
    <t>пер. Еловый</t>
  </si>
  <si>
    <t>14а</t>
  </si>
  <si>
    <t>18а</t>
  </si>
  <si>
    <t>ИТОГО:</t>
  </si>
  <si>
    <t>площадка бетонированная с металлическим ограждением из стальных труб с облицовкой профнастилом с отсеком для КГО / 36,0</t>
  </si>
  <si>
    <t>площадка бетонированная с металлическим ограждением из стальных труб с облицовкой профнастилом с отсеком для КГО / 30,0</t>
  </si>
  <si>
    <t>площадка бетонированная с металлическим ограждением из стальных труб с облицовкой профнастилом с отсеком для КГО / 24,0</t>
  </si>
  <si>
    <t>ООО "УЮТ-Сервис", ОГРН 1135916000153, Пермский край, г. Краснокамск, ул. Чапаева, 33Б</t>
  </si>
  <si>
    <t>ООО "Краснокамская УК "Надежда", ОГРН 1085916001621. Пермский край, г. Краснокамск, ул. 10 Пятилетки, д. 5, офис 144</t>
  </si>
  <si>
    <t>г. Краснокамск, ул. Бумажников (в районе ГСК № 44) / 58.088158 55.766920</t>
  </si>
  <si>
    <t>г. Краснокамск, ул. Бумажников / 58.089847 55.772974</t>
  </si>
  <si>
    <t>2.120</t>
  </si>
  <si>
    <t>г. Краснокамск, ул. Геофизиков, д. 7</t>
  </si>
  <si>
    <t>г. Краснокамск, ул. Геофизиков, д. 7 / 58,079135 55,762031</t>
  </si>
  <si>
    <t>ЗУ 59:07:0010901:58 ИП Ветошкин И.В., ОГРНИП 304591610500060</t>
  </si>
  <si>
    <t>бетонная плита с ограждением с 3-х сторон / 15,0</t>
  </si>
  <si>
    <t>ИП Ветошкин И.В., ОГРНИП 304591610500060</t>
  </si>
  <si>
    <t>ИП Ветошкин И.В., ОГРНИП 304591610500060, паспорт 5715 № 364085, выдан 23.09.2015, отделением УФМС России по Пермскму краю в г. Краснокамск, адрег регистрации, Пермский край, г. Краснокамск, пр. Маяковского, д. 16, кв. 47</t>
  </si>
  <si>
    <t>Краснокамский городской округ, с правой стороны дороги Казань-Пермь (отворот на Мысы), географические координаты / 58,044433 55,872959</t>
  </si>
  <si>
    <t>2.121</t>
  </si>
  <si>
    <t>асфальтированная площадка с ограждением с 3-х сторон / 9,0</t>
  </si>
  <si>
    <t>с. Усть-Сыны (кадстровый номер ЗУ 59:07:0470201:79) / 58,040856 55,576317</t>
  </si>
  <si>
    <t>ЗУ 59:07:0470201:79, ООО "Прайм", ОГРН 1195958040310</t>
  </si>
  <si>
    <t>Общество с ограниченной ответственностью "Прайм", ОГРН 1195958040310, Пермский край, г. Нытва, ул. Комсомольская, д. 49, кв. 20</t>
  </si>
  <si>
    <t>с. Усть-Сыны, здание авторесторана "Шафран"</t>
  </si>
  <si>
    <t>3.105</t>
  </si>
  <si>
    <t>ЗУ госуд.собств-сть не разграничена, кадастровый квартал 59:07:0610101</t>
  </si>
  <si>
    <t>ул. Центральная, 6,7,8, ул. Ягодная, ул. Солнечная</t>
  </si>
  <si>
    <t>ул. Радужная, ул. Весенняя, ул. Полевая, ул. Лесная, ул. Светлая</t>
  </si>
  <si>
    <t>8</t>
  </si>
  <si>
    <t>д. Брагино, ул. Радужная / 58.153103 55.892271</t>
  </si>
  <si>
    <t>д. Брагино, ул. Центральная / 58.152251 55.887119</t>
  </si>
  <si>
    <t>3.106</t>
  </si>
  <si>
    <t>2.122</t>
  </si>
  <si>
    <t>с. Усть-Сыны, ул. Совхозная, д. 9 / 58,043246 55,577304</t>
  </si>
  <si>
    <t>ЗУ 59:07:0470104:348, ООО "Агроторг", ОГРН 1027809237796</t>
  </si>
  <si>
    <t>асфальтированная площадка с ограждением с 3-х сторон / 10,36</t>
  </si>
  <si>
    <t xml:space="preserve">Общество с ограниченной ответственностью "Агроторг", ОГРН 1027809237796, индекс: 191025, г. Санкт-Петербург, Невский пр-т, д. 90/92 </t>
  </si>
  <si>
    <t>с. Усть-Сыны, ул. Совхозная, д. 9</t>
  </si>
  <si>
    <t>2153,2164,2154,2142</t>
  </si>
  <si>
    <t>2.123</t>
  </si>
  <si>
    <t>ЗУ 59:07:0020133:19, Давыдова Н.Г., ИНН 591603977864</t>
  </si>
  <si>
    <t>бетонная плита с ограждением с 3-х сторон, крышей и распашными воротами / 10,36</t>
  </si>
  <si>
    <t>Давыдова Наталья Геннадьевна, паспорт 5719 966037, выдан ГУ МВД России по Пермскому краю 02.03.2020, ИНН 591603977864, Пермский край, Краснокамский ГО, р.п. Оверята, ул. Луговая, д. 2</t>
  </si>
  <si>
    <t>Давыдова Наталья Геннадьевна, ИНН 591603977864</t>
  </si>
  <si>
    <t>р.п. Оверята, ул. Линейная, 6</t>
  </si>
  <si>
    <t>р.п. Оверята, ул. Линейная, 6 / 58,088730 55,868238</t>
  </si>
  <si>
    <t>3.107</t>
  </si>
  <si>
    <t>3.108</t>
  </si>
  <si>
    <t>с. Мысы, ул. Железнодорожная / 58,059293 55,914706</t>
  </si>
  <si>
    <t>ЗУ госуд.собств-сть не разграничена, кадастровый квартал 59:07:00580116</t>
  </si>
  <si>
    <t>ЗУ госуд.собств-сть не разграничена, кадастровый квартал 59:07:0180105</t>
  </si>
  <si>
    <t>с. Черная, ул. Клубная,20 / 58,139434 55,734078</t>
  </si>
  <si>
    <t>ул. Железнодорожная, пер. Больничный</t>
  </si>
  <si>
    <t>3.109</t>
  </si>
  <si>
    <t>2.124</t>
  </si>
  <si>
    <t>г. Краснокамск, пер. Дорожный, 2 / 58,078930 55,777266</t>
  </si>
  <si>
    <t>ЗУ 59:07:0010904:53, АНО ЦСП "Надежда", ОГРН 1169600003924</t>
  </si>
  <si>
    <t>бетонная плита с ограждением с 3-х сторон с крышей / 7,8</t>
  </si>
  <si>
    <t>Автономная некоммерческая организация Центр социальной помощи "Наждежда", ОГРН 1169600003924, Свердловская область, г. Екатеринбург, ул. Чкалова, д. 250, оф. 12</t>
  </si>
  <si>
    <t>г. Краснокамск, пер. Дорожный, 2</t>
  </si>
  <si>
    <t>18155</t>
  </si>
  <si>
    <t>00000000000684                       00000000000685                 18173</t>
  </si>
  <si>
    <t>Администрация Краснокамского городского округа, ОГРН 1185958069648, Пермский край, г. Краснокамск, пр. Маяковского, 11 РО</t>
  </si>
  <si>
    <t>2.125</t>
  </si>
  <si>
    <t>г. Краснокамск, ул. Сосновая горка, 12 / 58,076539 55,695717</t>
  </si>
  <si>
    <t>ЧЗУ 59:07:0010308:50, ИП Кравчук А.В., ОГРНИП 317595800043644</t>
  </si>
  <si>
    <t>бетонное с ограждением с 3-х сторон / 9,0</t>
  </si>
  <si>
    <t>г. Краснокамск, ул. Сосновая горка, 12</t>
  </si>
  <si>
    <t>Индивидуальный предприниматель Кравчук А.В., ОГРНИП: 317595800043644, паспорт: 5719 № 911410, выдан ГУ МВД России по Пермскому краю 12.11.2019г., адрес регистрации: 617060, Пермский край, г. Краснокамск, пр. Маяковского, д. 16, кв. 12</t>
  </si>
  <si>
    <t>Индивидуальный предприниматель Кравчук А.В., ОГРНИП: 317595800043644</t>
  </si>
  <si>
    <t>2.126</t>
  </si>
  <si>
    <t>г. Краснокамск, ул. Городская, 30А / 58,075041 55,791429</t>
  </si>
  <si>
    <t>ЗУ 59:07:0010907:31, ИП Ширинова С.Р., ОГРНИП 318595800044796</t>
  </si>
  <si>
    <t>бетонная плита с ограждением с 3-х сторон / 3,78</t>
  </si>
  <si>
    <t>Общество с ограниченной ответственностью "Элемент-Трейд", ОГРН 1036605217252, индекс 620076, г. Екатеринбург, ул. Щербакова, д. 4</t>
  </si>
  <si>
    <t>г. Краснокамск, ул. Городская, 30А - магазин ТС "Монетка"</t>
  </si>
  <si>
    <t>г. Краснокамск, ул. Молодежная, 10 / 58,086612 55,765639</t>
  </si>
  <si>
    <t>ул. Молодежная, 5,3а,6,7; пер. Новый, 4,6;  ул. Бумажников, 11,12,17; ул. Коммунальная, 7а</t>
  </si>
  <si>
    <t>ул. Коммунальная, 23,33</t>
  </si>
  <si>
    <t>пер.Еловый, 2,3,4; пер.Песчаный, 1,2,3,4</t>
  </si>
  <si>
    <t>ул. Коммунальная, 11,13,15,17,19; пер. Новый, 3,5; ул. Кооперативная, 3,4,5,6</t>
  </si>
  <si>
    <t>11</t>
  </si>
  <si>
    <t>ул. Коммунальная, 3; ул. Молодежная, 8, 10; ул. Коммунистическая, 7, 9, 11</t>
  </si>
  <si>
    <t>6</t>
  </si>
  <si>
    <t>ул. Энтузиастов, 14, 16; ул. Коммунальная, 10, 12</t>
  </si>
  <si>
    <t>ул. Коммунальная, 21, 21а; пер. Коммунальный, 4,6,7,8</t>
  </si>
  <si>
    <t>ЗУ  собственники МКД</t>
  </si>
  <si>
    <t>пер. Новый, 7; ул. Кооперативная, 7,8; ул. Бумажников, 14а,14,16,18,18а,20,19,21,23,25,27,29,31,33</t>
  </si>
  <si>
    <t>г. Краснокамск, ул. Энтузиастов, 16 / 58.087637 55.771846</t>
  </si>
  <si>
    <t>3.110</t>
  </si>
  <si>
    <t>3.111</t>
  </si>
  <si>
    <t>ул. Калинина, 13, 15; ул. 50 лет Октября, 11</t>
  </si>
  <si>
    <t>ул. Калинина. 11; ул. 50 лет Октяюря, 7, 9</t>
  </si>
  <si>
    <t>г. Краснокамск, ул. Калинина, 13 / 58,074974 55,731591</t>
  </si>
  <si>
    <t>г. Краснокамск, ул. Калинина, 11 / 58,074857 55,732554</t>
  </si>
  <si>
    <t>Общество с ограниченной ответственностью "Жилкомфорт", ОГРН 1175958037155, Пермский край, г. Краснокамск, ул. Карла Маркса, д. 4, кв. 8</t>
  </si>
  <si>
    <t>Общество с ограниченной ответственностью "Производственно-коммерческая фирма "Уральская компания", ОГРН 1055905511672, Пермский край, г. Краснокамск, ул. Комарова, д. 5, офис 3, управляет по доверенности ТСЖ</t>
  </si>
  <si>
    <t>3.112</t>
  </si>
  <si>
    <t>3.113</t>
  </si>
  <si>
    <t>3.114</t>
  </si>
  <si>
    <t>3.115</t>
  </si>
  <si>
    <t>3.116</t>
  </si>
  <si>
    <t>ЗУ неразграничка</t>
  </si>
  <si>
    <t>с. Черная, ул. Клубная, 5 / 58,140673 55,730032</t>
  </si>
  <si>
    <t>с. Черная, ул. Мира, 2А / 58,144315 55,725534</t>
  </si>
  <si>
    <t>с. Черная, ул. Мира, 20 / 58,140989 55,732116</t>
  </si>
  <si>
    <t>с. Черная, ул. Луговая / 58,139435 55,736983</t>
  </si>
  <si>
    <t>3.117</t>
  </si>
  <si>
    <t>с. Мысы, ул. Гагарина / 58,060152 55,877952</t>
  </si>
  <si>
    <t>3.118</t>
  </si>
  <si>
    <t>д. Никитино (Мысы), ул. Трактовая / 58,056026 55,868972</t>
  </si>
  <si>
    <t>2.127</t>
  </si>
  <si>
    <t>г. Краснокамск, ул. Сосновая горка, 12г</t>
  </si>
  <si>
    <t>г. Краснокамск, ул. Сосновая горка, 12г / 58,076652 55,696684</t>
  </si>
  <si>
    <t>ЧЗУ 59:07:0010308:47, ИП Мвано С.А., ОГРНИП 316595800068830</t>
  </si>
  <si>
    <t>бетонное с ограждением с 3-х сторон / 12,0</t>
  </si>
  <si>
    <t>Индивидуальный предприниматель Иванов С.А., ОГРНИП 316595800068830</t>
  </si>
  <si>
    <t>Индивидуальный предприниматель Иванов С.А., паспорт: 5719 № 911521, выдан ГУ МВД России по Пермскому краю 25.11.2019; адрес регистрации: 617060, Пермский край, г. Краснокамск, ул. Ульяны Громовой, д. 9; ОГРНИП: 316595800068830, ИНН: 591600146029</t>
  </si>
  <si>
    <t>3.119</t>
  </si>
  <si>
    <t>3.120</t>
  </si>
  <si>
    <t>д. Конец-Бор, ул. Некрасова / 58,065204 55,640715</t>
  </si>
  <si>
    <t>ул. Победы, ул. Некрасова, ул. Конец-Борская</t>
  </si>
  <si>
    <t>ул. Победы, ул.Некрасова, ул.Конец-Борская, пер.Технический, ул.Тепличная, ул.Запрудная</t>
  </si>
  <si>
    <t>д. Конец-Бор, ул. Трудовая / 58.072359 55.651783</t>
  </si>
  <si>
    <t>3.121</t>
  </si>
  <si>
    <t>3.122</t>
  </si>
  <si>
    <t>пер. Дальний, ул. Дальняя</t>
  </si>
  <si>
    <t>ул. Молодежная</t>
  </si>
  <si>
    <t>ул. Трактовая, ул. Полевая</t>
  </si>
  <si>
    <t>ул. Подлесная, ул. Трактовая, ул. Полевая</t>
  </si>
  <si>
    <t>3.123</t>
  </si>
  <si>
    <t>3.124</t>
  </si>
  <si>
    <t>с. Мысы, ул. Бирюзовая / 58,056339 55,886547</t>
  </si>
  <si>
    <t>с. Мысы, ул. Ягодная, 19 / 58,052292 55,886354</t>
  </si>
  <si>
    <t>пер. Бирюзовый 1-й, ул. Ягодная, ул. Шоколадная, пер. Речной</t>
  </si>
  <si>
    <t>ул. Бирюзовая, ул. Ягодная, ул. Шоколадная</t>
  </si>
  <si>
    <t>3.125</t>
  </si>
  <si>
    <t>3.126</t>
  </si>
  <si>
    <t>3.127</t>
  </si>
  <si>
    <t>с. Мысы, ул. Заречная / 58,056839 55,896638</t>
  </si>
  <si>
    <t>с. Мысы, ул. Набережная / 58,056583 55,900763</t>
  </si>
  <si>
    <t>с. Мысы, ул. Луговая / 58,057877 55,907707</t>
  </si>
  <si>
    <t>ул. Луговая, ул. Заречная, ул. Радужная</t>
  </si>
  <si>
    <t>ул. Луговая, ул. Ласьвинская, ул. Набережная, ул. Пролетарская</t>
  </si>
  <si>
    <t>ул. Луговая, ул. Пролетарская</t>
  </si>
  <si>
    <t>3.128</t>
  </si>
  <si>
    <t>с. Мысы, ул. Нагорная / 58,060894 55,897576</t>
  </si>
  <si>
    <t>ул. Лесная, ул. Генерала Трошева, ул. 65 лет Победы, ул. Нагорная, ул. Парниковая 2-я</t>
  </si>
  <si>
    <t>ул.Трудовая, ул.Центральная</t>
  </si>
  <si>
    <t>ул. Центральная, ул.Гагарина, ул.Солнечная</t>
  </si>
  <si>
    <t>д. Конец-Бор, пер. Светлый / 58.062573 55.636312</t>
  </si>
  <si>
    <t>с. Мысы, ул. Дальняя / 58.056171 55.873358</t>
  </si>
  <si>
    <t>с. Мысы, ул. Молодежная / 58,056150 55,875465</t>
  </si>
  <si>
    <t>2.128</t>
  </si>
  <si>
    <t>г. Краснокамск, ул. Большевистская, 46</t>
  </si>
  <si>
    <t>г. Краснокамск, ул. Большевистская, 46 / 58,083130 55,748590</t>
  </si>
  <si>
    <t>ЗУ 59:07:0010604:1, ООО "Стройтехресурс", ОРГН 1025902546790</t>
  </si>
  <si>
    <t xml:space="preserve">асфальтированная площадка с ограждением с 3-х сторон / 7,8 </t>
  </si>
  <si>
    <t xml:space="preserve">Общество с ограниченной ответственностью «Стройтехресурс»,  ОГРН: 1025902546790, ИНН: 5953002444, индекс: 617520, Пермский край, Уинский район, с. Уинское, ул. Северная, 4. </t>
  </si>
  <si>
    <t>с. Черная, ул. Полевая,23 / 58,142820 55,742656</t>
  </si>
  <si>
    <t>ул. Совхозная, ул.Заводская, ул. Северная</t>
  </si>
  <si>
    <t>с. Черная, ул. Новостройки, 2 / 58,146079, 55,731148</t>
  </si>
  <si>
    <t>ул.Молодежная, ул.Совхозная, ул. Северная</t>
  </si>
  <si>
    <t>ул. Северная, 7</t>
  </si>
  <si>
    <t>ул. Клубная, ул. Заводская</t>
  </si>
  <si>
    <t>ул. Полевая, ул. Молодежная, ул.Парковая, ул. Кирпичная, ул. Лесная</t>
  </si>
  <si>
    <t>ул. Клубная, ул. Космонавтов, ул. Школьная</t>
  </si>
  <si>
    <t>ул. Мира, ул. Центральная, ул. Историческая, ул. Подгорная</t>
  </si>
  <si>
    <t>2</t>
  </si>
  <si>
    <t>ул. Юбилейная, 8, 10</t>
  </si>
  <si>
    <t>ул. Мира, ул. Юбилейная</t>
  </si>
  <si>
    <t>ул. Луговая, ул. Строительная, ул. Заводская</t>
  </si>
  <si>
    <t>3.129</t>
  </si>
  <si>
    <t>д. Сёмичи, КП «Изумруд»/ 58,096951 55,869693</t>
  </si>
  <si>
    <t>д. Нагорная, ул. Нагорная / 58.051536 55.845178</t>
  </si>
  <si>
    <t>3.130</t>
  </si>
  <si>
    <t>3.131</t>
  </si>
  <si>
    <t>ул. Восточная, ул. Гагарина</t>
  </si>
  <si>
    <t>ул. Строителей, ул. Энтузиастов, ул. Гагарина</t>
  </si>
  <si>
    <t>ул. Гагарина, ул. Солнечная, ул. Дружбы</t>
  </si>
  <si>
    <t>пер.Цветочный, пер.Звездный, ул.Рублевская, ул.Новогодняя, ул.Северная, ул.Линейная, ул.Полевая 2-я, ул.Пролетарская</t>
  </si>
  <si>
    <t>2.129</t>
  </si>
  <si>
    <t>ЗУ 59:07:0010904:374, ИП Соловьев В.А., ОРГНИП 309590818000036</t>
  </si>
  <si>
    <t>Индивидуальный предприниматель Соловьев Виктор Александрович, ОГРНИП 309590818000036, паспорт 5704 № 590423, выдан ОВД Кировского района гор. Перми 18.01.2005, адрес регистрации: 614109, г. Пермь, пер. Якорный, д. 9</t>
  </si>
  <si>
    <t xml:space="preserve">Индивидуальный предприниматель Соловьев Виктор Александрович, ОГРНИП 309590818000036 </t>
  </si>
  <si>
    <t>бетонно-заливное с ограждением из профнастила с 3-х сторон / 7,3</t>
  </si>
  <si>
    <t>г. Краснокамск, ул. Коммунистическая, д. 21 / 58,083591 55,767719</t>
  </si>
  <si>
    <t>г. Краснокамск, ул. Коммунистическая, д. 21 (нежилое помещение S=183,6 м2)</t>
  </si>
  <si>
    <t>г. Краснокамск, ул. Советская, 35 / 58.060706 55.803472</t>
  </si>
  <si>
    <t>3.132</t>
  </si>
  <si>
    <t>замена в 12.2020 г. 2-х сгоревших контейнеров -  на 4397, 4398; замена в 12.2021 г. 2-х вышедших из строя контейнеров - на 4124, 4125</t>
  </si>
  <si>
    <t>действ. (искл.)</t>
  </si>
  <si>
    <t>2.130</t>
  </si>
  <si>
    <t>г. Краснокамск, пр. Маяковского, д. 7а (ТЦ "Парк")</t>
  </si>
  <si>
    <t>г. Краснокамск, пр. Маяковского, д. 7а / 58,082851 55,757482</t>
  </si>
  <si>
    <t>бетонная плита с ограждением из профильного железа с 3-х сторон / 18,0</t>
  </si>
  <si>
    <t>ЗУ 59:07:0010605:285, КЗИО. Данный земельный участок обременен правами Киракосяна Мартина Вазгеновича (паспорт: 5703 № 546423 выдан Отделом внутренних дел Дзержинского района гор. Перми 29.11.2002, адрес регистрации: индекс 614097, г. Пермь, Парковый проспект, д. 28а, кв. 47; ОГРНИП: 321595800092549, ИНН: 590308455403) на условиях аренды на основании договора аренды земельного участка от 21.09.2012 № пк 102-57.</t>
  </si>
  <si>
    <t xml:space="preserve">Индивидуальлный предприниматель Киракосян Мартин Вазгенович (паспорт: 5703 № 546423 выдан Отделом внутренних дел Дзержинского района гор. Перми 29.11.2002, адрес регистрации: индекс 614097, г. Пермь, Парковый проспект, д. 28а, кв. 47; ОГРНИП: 321595800092549, ИНН: 590308455403) </t>
  </si>
  <si>
    <t>1.136</t>
  </si>
  <si>
    <t>40 чел</t>
  </si>
  <si>
    <t xml:space="preserve">ул. Земляничная, ул. Изумрудная, пер. Кофейный, ул. Подгорная 1-я, ул. Подгорная 2-я, ул. Раздольная, ул. Яблочная, ул. Янтарная
</t>
  </si>
  <si>
    <t>3.133</t>
  </si>
  <si>
    <t>3.134</t>
  </si>
  <si>
    <t>3.135</t>
  </si>
  <si>
    <t>1.137</t>
  </si>
  <si>
    <t>г. Краснокамск, ул. Советская, 6 / 58,057419 55,808181</t>
  </si>
  <si>
    <t>ул. Толстого, 11; ул. Белинского, 1, 1а, 4, 5, 8; ул.Советская, 2, 6, 10, 12; ул. Щербакова, 26</t>
  </si>
  <si>
    <t>д. Сёмичи / 58,093839 55,861955</t>
  </si>
  <si>
    <t>п.Оверята: ул. Дружбы, ул.Российская, ул.Янтарная, ул.Новостройки, ул.Луговая, ул.Кирпичная, ул.Южная; д. Сёмичи: ул.Центральная, ул.Заречная, ул.Нагорная 1-я, ул. Нагорная 2-я, ул. Полевая</t>
  </si>
  <si>
    <t>3.136</t>
  </si>
  <si>
    <t>3.137</t>
  </si>
  <si>
    <t>3.138</t>
  </si>
  <si>
    <t>г. Краснокамск, ул. Карла Маркса, 63 / 58,087575 55,760705</t>
  </si>
  <si>
    <t>ЗУ 59:07:0010612:428 собственники МКД</t>
  </si>
  <si>
    <t>площадка бетонированная с металлическим ограждением из стальных труб с облицовкой профнастилом с отсеком для КГО / 9,0</t>
  </si>
  <si>
    <t>Общество с ограниченной ответственностью "Эталон Краснокамск", ОГРН 1135916001264, Пермский край, г. Краснокамск, ул. Чапаева, 15</t>
  </si>
  <si>
    <t>ул. Карла Маркса, 63</t>
  </si>
  <si>
    <t>ЗУ 59:07:0010603:24 собственники МКД</t>
  </si>
  <si>
    <t>ЗУ 59:07:0010603:30 собственники МКД</t>
  </si>
  <si>
    <t>Общество с ограниченной ответственностью "Жилкомфорт", ОГРН 1175958037155, Пермский край, г. Краснокамск, ул. Карла Маркса, д. 4, оф. 8</t>
  </si>
  <si>
    <t>ул. Чапаева, 44</t>
  </si>
  <si>
    <t>ул. Чапаева, 46; ул. Пушкина, 18</t>
  </si>
  <si>
    <t>площадка бетонированная с металлическим ограждением из стальных труб с облицовкой профнастилом с отсеком для КГО / 15,0</t>
  </si>
  <si>
    <t>г. Краснокамск, ул. Чапаева, 44 / 58,087262 55,756773</t>
  </si>
  <si>
    <t>г. Краснокамск, ул. Чапаева, 46 / 58,087480 55,757531</t>
  </si>
  <si>
    <t>р.п. Оверята, ул. Строителей, д. 1 / 58,075405, 55,870389     58.059718 55.888281</t>
  </si>
  <si>
    <t>2.131</t>
  </si>
  <si>
    <t>Чересполосный Усть-Поломский земельный запас, СНТ "Монтажник-2" / 58,025597 55,528685</t>
  </si>
  <si>
    <t>Кадастровый квартал 59:26:2320201 (Нытвенский район)</t>
  </si>
  <si>
    <t>бетонная плита с ограждением из профильного железа с 3-х сторон с отсеком для КГО / 15,0</t>
  </si>
  <si>
    <t>Садоводческое некоммерческое товарищество «Монтажник-2»,  (617076, Пермский край, Краснокамский городской округ, чересполосный Усть-Поломский земельный запас, ОГРН: 1145958026752, дата присвоения ОГРН: 26.05.2014 г., ИИН: 5903997410, КПП: 590301001)</t>
  </si>
  <si>
    <t>Садоводческое некоммерческое товарищество «Монтажник-2», ОГРН: 1145958026752, 617076, Пермский край, Краснокамский городской округ, чересполосный Усть-Поломский земельный запас, кадастровый квартал 59:26:2320201</t>
  </si>
  <si>
    <t xml:space="preserve">Краснокамский ГО, чересполосный Усть-Поломский земельный запас, кадастровый квартал 59:26:2320201, территория СНТ "Монтажник-2" </t>
  </si>
  <si>
    <t>Краснокамский ГО, массив Алешиха, территория ТСН "СНТ"Луч-33"</t>
  </si>
  <si>
    <t>Стр-во в 2022</t>
  </si>
  <si>
    <t>д. Катыши / 58.222902 55.921875</t>
  </si>
  <si>
    <t>с. Мысы, ул. Восточная, 1 / 58,059185 55,884906</t>
  </si>
  <si>
    <t>г. Краснокамск, ул. Белинского / 58.058424, 55.803368</t>
  </si>
  <si>
    <t>ул. Белинского, 13а,12,9,14,14а,16,18,20</t>
  </si>
  <si>
    <t>д. Мишкино, ул. Центральная / 58.130305 55.791927</t>
  </si>
  <si>
    <t>ул. Кольцевая, ул. Центральная, пер. Дорожный</t>
  </si>
  <si>
    <t>Общество с ограниченной ответственностью "Кама", ОГРН 1165958091496, индекс 617060, Пермский край, г. Краснокамск, ул. Шоссейная, д. 11</t>
  </si>
  <si>
    <t>АО "Пермский региональный оператор ТКО", ОГРН 1225900008883, индекс 614081, г. Пермь, ул. Плеханова, д. 51в</t>
  </si>
  <si>
    <t>4123, 4120 (24.05.2022)</t>
  </si>
  <si>
    <t>Администрация Краснокамского городского округа; АО "Пермский региональный оператор ТКО", ОГРН 1225900008883, индекс 614081, г. Пермь, ул. Плеханова, д. 51в</t>
  </si>
  <si>
    <t>перевезли с пер. Торфяной, 1 (24.05.2022) взамен сломанного</t>
  </si>
  <si>
    <t>ЗУ неразграничка (карьер)</t>
  </si>
  <si>
    <t>3.139</t>
  </si>
  <si>
    <t>КК 59:07:0010704</t>
  </si>
  <si>
    <t>150</t>
  </si>
  <si>
    <t>территория СНТ "Госучреждений-2а"</t>
  </si>
  <si>
    <t>г. Краснокамск, территория СНТ "Госучреждений № 2а" / 58,096406 55,762629</t>
  </si>
  <si>
    <t>Садовое некоммерческое товарищество "Госучреждений № 2а", ОГРН 1025901845584, Пермский край, г. Краснокамск, ул. Пушкина, д. 5а</t>
  </si>
  <si>
    <t>3.140</t>
  </si>
  <si>
    <t>3.141</t>
  </si>
  <si>
    <t>3.142</t>
  </si>
  <si>
    <t>3.143</t>
  </si>
  <si>
    <t>3.144</t>
  </si>
  <si>
    <t>3.145</t>
  </si>
  <si>
    <t>3.146</t>
  </si>
  <si>
    <t>3.147</t>
  </si>
  <si>
    <t>3.148</t>
  </si>
  <si>
    <t>3.149</t>
  </si>
  <si>
    <t>3.150</t>
  </si>
  <si>
    <t>3.151</t>
  </si>
  <si>
    <t>3.152</t>
  </si>
  <si>
    <t>3.153</t>
  </si>
  <si>
    <t>массив Алешиха, территория СНТ "Рябинушка-2" / 58,261168 56,060699</t>
  </si>
  <si>
    <t>массив Алешиха, территория СНТ "Прогресс" / 58,263599 56,052051</t>
  </si>
  <si>
    <t>массив Алешиха, территория СНТ "Прогресс" / 58,260757 56,060004</t>
  </si>
  <si>
    <t>массив Алешиха, территория СНТ "Сад № 271 АО "Электробирного завода" / 58,265169 56,051019</t>
  </si>
  <si>
    <t>массив Алешиха, территория СНТ "УРАЛ" / 58,259273 56,049606</t>
  </si>
  <si>
    <t>массив Алешиха, территория СНТ "Надежда" / 58,259351 56,056744</t>
  </si>
  <si>
    <t>массив Алешиха, территория СНТ "Малиновка" /58,258894 56,061336</t>
  </si>
  <si>
    <t>массив Алешиха, территория СНТ "Уралочка-2" / 58,262551 56,069527</t>
  </si>
  <si>
    <t>массив Алешиха, территория СНТ "Речник" / 58,263615 56,068059</t>
  </si>
  <si>
    <t>3.154</t>
  </si>
  <si>
    <t>3.155</t>
  </si>
  <si>
    <t>3.156</t>
  </si>
  <si>
    <t>3.157</t>
  </si>
  <si>
    <t>3.158</t>
  </si>
  <si>
    <t>3.159</t>
  </si>
  <si>
    <t>3.160</t>
  </si>
  <si>
    <t>3.161</t>
  </si>
  <si>
    <t>3.162</t>
  </si>
  <si>
    <t>3.163</t>
  </si>
  <si>
    <t>3.164</t>
  </si>
  <si>
    <t>3.165</t>
  </si>
  <si>
    <t>3.166</t>
  </si>
  <si>
    <t>3.167</t>
  </si>
  <si>
    <t>3.168</t>
  </si>
  <si>
    <t>г. Краснокамск, проезд Рябиновый / 58,077851 55,718346</t>
  </si>
  <si>
    <t>г. Краснокамск, ул. Пугачева / 58,079911 55,709508</t>
  </si>
  <si>
    <t>г. Краснокамск, ул. Декабристов / 58,080788 55,706207</t>
  </si>
  <si>
    <t>г. Краснокамск, ул. Каракулова / 58,081317 55,714296</t>
  </si>
  <si>
    <t>г. Краснокамск, ул. Тимирязева / 58,081886 55,723926</t>
  </si>
  <si>
    <t>г. Краснокамск, пер. Студенческий / 58,084478 55,738204</t>
  </si>
  <si>
    <t>г. Краснокамск, ул. Декабристов, д. 25 / 58,080095 55,715478</t>
  </si>
  <si>
    <t>ЗУ 59:07:0010318:15</t>
  </si>
  <si>
    <t>площадка бетонированная с металлическим ограждением с отсеком для КГО  / 18,0</t>
  </si>
  <si>
    <t>6,0*3,0</t>
  </si>
  <si>
    <t>ул. Декабристов, 25</t>
  </si>
  <si>
    <t>г. Краснокамск, проезд Рябиновый, д. 4 / 58,079813 55,715966</t>
  </si>
  <si>
    <t>ЗУ 59:07:0010318:23</t>
  </si>
  <si>
    <t>площадка бетонированная с металлическим ограждением с отсеком для КГО  / 31,5</t>
  </si>
  <si>
    <t>10,5*3,0</t>
  </si>
  <si>
    <t>Товарищество собственников недвижимости "Товарищество собственников жилья "Декабристов-25", ОГРН 1175958047011, Пермский край, г. Краснокамск, ул. Декабристов, д. 25, кв. 5</t>
  </si>
  <si>
    <t>Товарищество собственников жилья "МЖК", ОГРН 1065916017969, Пермский край, г. Краснокамск, проезд Рябиновый, д. 5</t>
  </si>
  <si>
    <t>проезд Рябиновый, 4 ,5; ул. Калинина, д. 22</t>
  </si>
  <si>
    <t>проезд Рябиновый, 2; ул. Калинина, д. 18</t>
  </si>
  <si>
    <t>5,0*3,0</t>
  </si>
  <si>
    <t>ЗУ 59:07:0010318:43</t>
  </si>
  <si>
    <t>г. Краснокамск, проезд Рябиновый, д. 2 / 58,077865 55,715231</t>
  </si>
  <si>
    <t>ЗУ 59:07:0010318:35</t>
  </si>
  <si>
    <t>г. Краснокамск, проезд Рождественский, д. 3 / 58,078988 55,712677</t>
  </si>
  <si>
    <t>Товарищество собственников жилья "Рождественский проезд, 3", ОГРН 1065916018090, Пермский край, г. Краснокамск, Рождественский проезд, 3</t>
  </si>
  <si>
    <t>21.05.2022 - 2444, 2443, 4954, 2129</t>
  </si>
  <si>
    <t>г. Краснокамск, ул. Карла Либкнехта, д. 4 / 58,080490 55,732698</t>
  </si>
  <si>
    <t>г. Краснокамск, ул. Комарова, д. 4 / 58,078369 55,730704</t>
  </si>
  <si>
    <t>г. Краснокамск, пер. Гознаковский, д. 2 / 58,078866 55,733411</t>
  </si>
  <si>
    <t>КК 59:07:0010503</t>
  </si>
  <si>
    <t>ЗУ 59:07:0010506:5</t>
  </si>
  <si>
    <t>КК 59:07:0010506</t>
  </si>
  <si>
    <t>площадка бетонированная с металлическим ограждением с отсеком для КГО  / 22,5</t>
  </si>
  <si>
    <t>7,5*3</t>
  </si>
  <si>
    <t>площадка бетонированная с металлическим ограждением с отсеком для КГО  / 27,0</t>
  </si>
  <si>
    <t>9*3</t>
  </si>
  <si>
    <t>ул. Карла Либкнехта, 4,4а,4б,6</t>
  </si>
  <si>
    <t>пер.Гознаковский, 2,3,4; ул.К.Либкнехта, 8</t>
  </si>
  <si>
    <t>ул. Комарова, 4,4а,6; пер.Гознаковский, 6</t>
  </si>
  <si>
    <t>Товарищество собственников жилья "Гознак 2", ОГРН 1065916017496, Пермский край, г. Краснокамск, ул. Карла Либкнехта, д.6</t>
  </si>
  <si>
    <t>Общество с ограниченной ответственностью "Краснокамская УК "Уралкомп", ОГРН 1105916001080, Пермский край, г. Краснокамск, ул. Комарова, д.5</t>
  </si>
  <si>
    <t>г. Краснокамск, ул. Майская / 58,078917 55,705278</t>
  </si>
  <si>
    <t>КК 59:07:0010319</t>
  </si>
  <si>
    <t>ул. Декабристов, с 2 по 58 (чет.), с 29 по 59 (нечет.)</t>
  </si>
  <si>
    <t>ул. Уральская, 1,3,5; пер. Нагорный с 2 по 10 (чет.), с 5 по 25 (нечет.); ул. Раздольная с 2 по 18 (чет.); ул. Декабристов, 1,3,5; пер.Свободный, 2</t>
  </si>
  <si>
    <t>ул. Пугачева с 2 по 32 (чет.); Рождественский проезд с 10 по 20 (чет.)</t>
  </si>
  <si>
    <t>ул. Каракулова с 28 по 90 (чет.), с 25 по 61 (нечет.); ул. Тимирязева, 71,73,75,77,79</t>
  </si>
  <si>
    <t>ул. Тимирязева с 2а по 30 (чет.), с 1 по 29 (нечет.); ул. Ульяны Громовой с 25 по 41 (нечет.); ул. Каракулова с 2 по 26 (чет.); ул. Олега Кошевого с 43 по 69 (нечет.); пер. Коллективный с 1 по 5 (нечет.)</t>
  </si>
  <si>
    <t>пер. Студенческий с 2 по 8 (чет.), с 1 по 5 (нечет.); ул. Олега Кошевого с 2а по 32 (чет.), с 1а по 37 (нечет.); ул. Ульяны Громовой с 1 по 24 (чет.), ул. Зои Космодемьянской с 2а по 16 (чет)., с 1а по 17 (нечет.)</t>
  </si>
  <si>
    <t>Садовое некоммерческое товарищество "Прогресс", ОГРН 1025901847894, Пермский край, Краснокамский ГО, массив Алешиха, территория СНТ "Прогресс"</t>
  </si>
  <si>
    <t>Садовое некоммерческое товарищество "Надежда", ОГРН 1025901846002, Пермский край, Краснокамский ГО, массив Алешиха</t>
  </si>
  <si>
    <t>Садовое некоммерческое товарищество "Речник", ОГРН 1025901847531, Пермский край, Краснокамский ГО, массив Алешиха, территория СНТ "Речник"</t>
  </si>
  <si>
    <t>Садовое некоммерческое товарищество "Уралочка-2", ОГРН 1025901843670, Пермский край, Краснокамский ГО, массив Алешиха, территория СНТ "Уралочка-2"</t>
  </si>
  <si>
    <t>Садовое некоммерческое товарищество "Урал", ОГРН 1095916000762, Пермский край, Краснокамский ГО, тер. Шеметевское лесничество</t>
  </si>
  <si>
    <t>Садовое некоммерческое товарищество "Малиновка", ОГРН 1035901547010, Пермский край, Краснокамский ГО, тер. СНТ "Малиновка"</t>
  </si>
  <si>
    <t>Садовое некоммерческое товарищество "Сад № 271 АО "Электроприборного завода", ОГРН 1025901849577, Пермский край, Краснокамский ГО, тер. СНТ, массив Алешиха</t>
  </si>
  <si>
    <t>массив Алешиха, территория СНТ "Ягодка-1" / 58,267957 56,053605</t>
  </si>
  <si>
    <t>Садовое некоммерческое товарищество "Ягодка-1", ОГРН 1025901847619, Пермский край, Краснокамский ГО, массив Алешиха, территория СНТ "Ягодка-1"</t>
  </si>
  <si>
    <t>Садовое некоммерческое товарищество "Рябинушка-2", ОГРН 1055905517030, Пермский край, Краснокамский ГО, массив Алешиха, территория СНТ "Рябинушка-2"</t>
  </si>
  <si>
    <t>территория СНТ "Рябинушка-2"</t>
  </si>
  <si>
    <t>территория СНТ "Прогресс"</t>
  </si>
  <si>
    <t>территория СНТ "Ягодка-1"</t>
  </si>
  <si>
    <t>территория СНТ "Сад № 271 АО "Электроприборного завода"</t>
  </si>
  <si>
    <t>территория СНТ "Урал"</t>
  </si>
  <si>
    <t>территория СНТ "Надежда"</t>
  </si>
  <si>
    <t>территория СНТ "Малиновка", СНТ "Нива", СНТ "Гудок"</t>
  </si>
  <si>
    <t>территория СНТ "Уралочка-2"</t>
  </si>
  <si>
    <t>территория СНТ "Речник"</t>
  </si>
  <si>
    <t>2.132</t>
  </si>
  <si>
    <t>массив Алешиха, территория СНТ "Алешиха-22" / 58,2597 56,1206</t>
  </si>
  <si>
    <t>Кадастровый квартал 59:07:1510315</t>
  </si>
  <si>
    <t>деревянный настил с ограждением из профильного железа с 3-х сторон / 8,0</t>
  </si>
  <si>
    <t>Садоводческое некоммерческое товарищество «Алешиха-22», ОГРН: 1175958037243, индекс 617073, Пермский край, Краснокамский городской округ, массив Алешиха, кадастровый квартал 59:07:1510315</t>
  </si>
  <si>
    <t xml:space="preserve">Садоводческое некоммерческое товарищество «Алешиха-22», ОГРН: 1175958037243, индекс 617073, Пермский край, Краснокамский городской округ, массив Алешиха, кадастровый квартал 59:07:1510315 </t>
  </si>
  <si>
    <t>Краснокамский ГО, массив Алешиха, кадастровый квартал 59:07:1510315, территория СНТ «Алешиха-22»</t>
  </si>
  <si>
    <t>ул. Майская с 8 по 16, 19; ул. Пугачева, 23,25,29</t>
  </si>
  <si>
    <t>г. Краснокамск, ул. 50 лет Октября, 6а / 58,074538 55,736712</t>
  </si>
  <si>
    <t>ЗУ 59:07:0010519:18</t>
  </si>
  <si>
    <t>г. Краснокамск, ул. Школьная, д. 24 / 58,074074 55,740138</t>
  </si>
  <si>
    <t>ЗУ 59:07:0010520:18</t>
  </si>
  <si>
    <t>г. Краснокамск, ул. Калинина, д. 3 / 58,076053 55,740732</t>
  </si>
  <si>
    <t>ЗУ 59:07:0010520:4</t>
  </si>
  <si>
    <t>Общество с ограниченной ответственностью Управляющая компания "Классик-А", ОГРН 1145958003531, Пермский край, г. Пермь, ул. Кировоградская, д. 65А</t>
  </si>
  <si>
    <t>Товарищество собственников жилья "Берег", ОГРН 1075900000252, Пермский край, г. Краснокамск, ул. Школьная, д. 22</t>
  </si>
  <si>
    <t>Общество с ограниченной ответственностью "Уралкомп", ОГРН 1135916000472, Пермский край, г. Краснокамск, ул. Комарова, д.5</t>
  </si>
  <si>
    <t>ул. 50 лет Октября, 3, 4, 6а</t>
  </si>
  <si>
    <t>ул. 50 лет Октября, 1; ул.Школьная, 22,24</t>
  </si>
  <si>
    <t>ул. Калинина, 3,3а; ул. Школьная, 20/1</t>
  </si>
  <si>
    <t>2.133</t>
  </si>
  <si>
    <t>Пермский край, Краснокамский городской округ, с. Усть-Сыны, ул. Пушкина, д. 2</t>
  </si>
  <si>
    <t>Общество с ограниченной ответственностью "Миламед", ОГРН 1125902009320, индекс 617076, Пермский край, Краснокамский городской округ, с. Усть-Сыны, ул. Пушкина, д. 2</t>
  </si>
  <si>
    <t>с. Усть-Сыны, ул. Пушкина, д. 2 / 58,045544 55,576847</t>
  </si>
  <si>
    <t>ЗУ 59:07:0470104:38</t>
  </si>
  <si>
    <t>р.п. Оверята, СНТ "Коллективный сад "Виктория" / 58.102249 55.851299</t>
  </si>
  <si>
    <t>р.п. Оверята, СНТ "Черемушки-2" / 58.100686 55.923004</t>
  </si>
  <si>
    <t>бетонная площадка с ограждением с 3-х сторон / 6,0</t>
  </si>
  <si>
    <t>с. Мысы, ул. Строителей, 18 / 58.059292 55.887347</t>
  </si>
  <si>
    <t>Кадастровый номер ЗУ 59:07:0470201:95</t>
  </si>
  <si>
    <t>с. Усть-Сыны (кадстровый номер ЗУ 59:07:0470201:95) / 58,040555 55,575782</t>
  </si>
  <si>
    <t>с. Усть-Сыны, ул. Тихая, 9 / 58,042006 55,567493</t>
  </si>
  <si>
    <t>Общество с ограниченной ответственностью "Газпромнефть-Центр", ОГРН 1027739602824, г. Екатеринбург, Сибирский тракт, 12, стр. 1</t>
  </si>
  <si>
    <t>деревянный настил с ограждением из профильного железа с 3-х сторон / 7,78</t>
  </si>
  <si>
    <t>площадка бетонированная с металлическим ограждением  с отсеком для КГО / 18,0</t>
  </si>
  <si>
    <t>придомова МКД</t>
  </si>
  <si>
    <t>00000000000471 - демонтировали без ведома ОМС</t>
  </si>
  <si>
    <t>ул. Кима, 6</t>
  </si>
  <si>
    <t>Общество с ограниченной ответственностью "Новатор", ОГРН 1095916001180, индекс 617060, Пермский край, г. Краснокамск, ул. Сосновая горка, д. 7, оф. 87</t>
  </si>
  <si>
    <t>г. Краснокамск, пр. Маяковского, д. 3 / 58.085087 55.754621</t>
  </si>
  <si>
    <t>ул. Васильковая, ул. Лазурная, ул. Матюжата</t>
  </si>
  <si>
    <t>д. Фадеята, ул. Матюжата / 58.063008 55.450001</t>
  </si>
  <si>
    <t>мку "Краснокамск благоустройство", ОГРН 1085916000015, Пермский край, г. Краснокамск, ул. Большевистская, д.6</t>
  </si>
  <si>
    <t>г. Краснокамск, ул. В. Кима, 6 / 58,063424 55,821673</t>
  </si>
  <si>
    <t>д. Большая / 58.122101 55.836646</t>
  </si>
  <si>
    <t>2.134</t>
  </si>
  <si>
    <t>КГО</t>
  </si>
  <si>
    <t>г. Краснокамск, ул. Геофизисков, д. 3 / 58,077466 55,760528</t>
  </si>
  <si>
    <t>ЗУ 59:07:0010901:493</t>
  </si>
  <si>
    <t>щебеночное основание с ограждением с 3-х сторон / 9,0</t>
  </si>
  <si>
    <t>Общество с ограниченной ответственностью «АРГОФ-ПАРТНЕР», ОГРН: 1035901006019, индекс: 617060, Пермский край, г. Краснокамск, ул. Геофизиков, д. 3</t>
  </si>
  <si>
    <t>г. Краснокамск, ул. Геофизиков, д. 3</t>
  </si>
  <si>
    <t>2.135</t>
  </si>
  <si>
    <t>г. Краснокамск, ул. Геофизисков, д. 12 / 58,082149 55,767443</t>
  </si>
  <si>
    <t>ЗУ 59:07:0010903:5</t>
  </si>
  <si>
    <t>бетонная плита с ограждением с 3-х сторон / 7,5</t>
  </si>
  <si>
    <t>Индивидуальный предприниматель Быкариз Максим Игоревич, ОГРНИП: 314595808600580</t>
  </si>
  <si>
    <t xml:space="preserve">Индивидуальный предприниматель Быкариз Максим Игоревич (паспорт: 5706 № 999530 выдан ТП УФМС России по Пермскому краю в Уинском районе 14.09.2007, адрес регистрации: индекс 614095, г. Пермь, ул. Семченко, д. 6, кв. 54; ОГРНИП: 314595808600580, ИНН: 595300776179) </t>
  </si>
  <si>
    <t>г. Краснокамск, ул. Геофизиков, д. 12 (S=841 кв.м.)</t>
  </si>
  <si>
    <t>ул. Калинина, 5, 5/2, 3, 3а, 7, 9; ул. 50 лет Октября 1, 3, 4, 6а; ул.Школьная, 20,22,24</t>
  </si>
  <si>
    <t>2.136</t>
  </si>
  <si>
    <t>п. Майский, ул. 9-ой Пятилетки, д. 1 / 58,106553 55,574113</t>
  </si>
  <si>
    <t>ЗУ 59:07:0030103:9</t>
  </si>
  <si>
    <t>Акционерное общество "Тандер", ОГРН: 1022301598549, индекс: 350002, Краснодарский край, г. Краснодар, ул. Леваневского, 185</t>
  </si>
  <si>
    <t>п. Майский, ул. 9-ой Пятилетки, д. 1 (S=290,7 кв.м.)</t>
  </si>
  <si>
    <t>бетонная плита с ограждением по периметру с распашными воротами / 7,2</t>
  </si>
  <si>
    <t>1.138</t>
  </si>
  <si>
    <t>ул. Подгорная, пер. Дальний, пер. Солнечный, пер. Зеленый, ул. Садовая, пер. Малый, ул. Железнодорожная</t>
  </si>
  <si>
    <t>Вблизи д. Кабанов Мыс, СНТ "Металлоткач" / 58.035243, 55.512203</t>
  </si>
  <si>
    <t>КК 59:07:2500110</t>
  </si>
  <si>
    <t>Садовое некоммерческое товарищество  "Металлоткач", ОГРН 1125916001023, Пермский край, вблизи д. Кабанов Мыс</t>
  </si>
  <si>
    <t>Вблизи д. Кабанов Мыс, территория СНТ "Металлоткач", кадастровый квартал 59:07:2500110</t>
  </si>
  <si>
    <t>р.п. Оверята, ул. Строителей д. 5 / 58,081782 55,865918</t>
  </si>
  <si>
    <t>р.п. Оверята, ул. Строителей, 4 / 58,076718 55,871549</t>
  </si>
  <si>
    <t>р.п. Оверята, ул. Линейная, 5 / 58.079852 55.875464</t>
  </si>
  <si>
    <t>р.п. Оверята, ул. Строителей, д. 1 / 58,075062, 55,870731</t>
  </si>
  <si>
    <t>р.п. Оверята, ул. Строителей, 10 / 58,079659 55,870953</t>
  </si>
  <si>
    <t>р.п. Оверята, ул. Строителей, 1А / 58,076765, 55,868255</t>
  </si>
  <si>
    <t>р.п. Оверята, ул. Заводская, 7 / 58,084686 55,861429</t>
  </si>
  <si>
    <t>р.п. Оверята, ул. Садовая 1-я, 3 / 58,082562, 55,877822</t>
  </si>
  <si>
    <t xml:space="preserve">р.п. Оверята, ул. Железнодорожная, 31 / 58,094046 55,859028 </t>
  </si>
  <si>
    <t>р.п. Оверята, ул. Железнодорожная, 62 / 58,100017 55,852229</t>
  </si>
  <si>
    <t>р.п. Оверята, ул. Железнодорожная (перекресток с пер. Клубный) / 58,087479 55,865539</t>
  </si>
  <si>
    <t>р.п. Оверята, пер. Фабричный (перекресток с ул. Железнодорожная) / 58,082559  55,871080</t>
  </si>
  <si>
    <t>р.п. Оверята, ул. Железнодорожная, 44 / 58,096790 55,856249</t>
  </si>
  <si>
    <t xml:space="preserve">р.п. Оверята, ул. Молодежная, 164 / 58,097778  55,851748 </t>
  </si>
  <si>
    <t>р.п. Оверята, ул. Луговая / 58,089391 55,869918</t>
  </si>
  <si>
    <t>р.п. Оверята, ул. Кольцевая / 58,086158 55,884371</t>
  </si>
  <si>
    <t>р.п. Оверята, ул. Линейная, 9 / 58,086237 55,868996</t>
  </si>
  <si>
    <t>р.п. Оверята, ТСН "Вишня № 1" / 58.101095 55.853242</t>
  </si>
  <si>
    <t>р.п. Оверята, ул. Комсомольская, д. 12/1 / 58,078583 55,873485</t>
  </si>
  <si>
    <t>р.п. Оверята, ул. Комсомольская, д. 12а / 58,079410 55,871056</t>
  </si>
  <si>
    <t>р.п. Оверята, ул. Кирпичная, д. 13а / 58,083197 55,879731</t>
  </si>
  <si>
    <t>р.п. Оверята, ул. Линейная, д. 1 / 58,0785 55,8773</t>
  </si>
  <si>
    <t>р.п. Оверята, ул. Комсомольская, 2 / 58,072876 55,873837</t>
  </si>
  <si>
    <t>р.п. Оверята, ул. Заводская, 30 / 58.087350 55.860201</t>
  </si>
  <si>
    <t>????  ПК ГУП "Теплоэнерго", ОГРН 1135903000364, г. Пермь, ул. Монастырская, д. 4</t>
  </si>
  <si>
    <r>
      <rPr>
        <b/>
        <sz val="12"/>
        <rFont val="Times New Roman"/>
        <family val="1"/>
        <charset val="204"/>
      </rPr>
      <t>закупка 0,75 м3 (2 шт.) в 2021 году перенесли на ул. В.Кима, 6</t>
    </r>
    <r>
      <rPr>
        <sz val="12"/>
        <rFont val="Times New Roman"/>
        <family val="1"/>
        <charset val="204"/>
      </rPr>
      <t>; бункер 8 м3 без номера</t>
    </r>
  </si>
  <si>
    <t>00000000000563                00000000000446; 18001 (26.05.2022)</t>
  </si>
  <si>
    <t>00000000000602  (00000000000661-на ул.Февральская (гараж) списан)</t>
  </si>
  <si>
    <t>4948, 4949-сгорел 26.07.2022, 4950, 4951, 4952, 4953 (26.05.2022)</t>
  </si>
  <si>
    <t>2225, 2451 (03.10.2020), 2442 (24.05.2022)</t>
  </si>
  <si>
    <t>Администрация Краснокамского городского округа, ОГРН 1185958069648, Пермский край, г. Краснокамск, пр. Маяковского, 11-под утилизацию; ПКГУП "Теплоэнерго"</t>
  </si>
  <si>
    <t>новый покупка в 2018 году-сгнило дно; установка 10.12.2021 - 26196</t>
  </si>
  <si>
    <t>0000000000598; 18000, 18001-переустановили на Пальтинский,4 (26.05.2022)</t>
  </si>
  <si>
    <r>
      <rPr>
        <b/>
        <sz val="12"/>
        <rFont val="Times New Roman"/>
        <family val="1"/>
        <charset val="204"/>
      </rPr>
      <t>2147</t>
    </r>
    <r>
      <rPr>
        <sz val="12"/>
        <rFont val="Times New Roman"/>
        <family val="1"/>
        <charset val="204"/>
      </rPr>
      <t>-замена 22.03.2022 на 4399, 2434</t>
    </r>
  </si>
  <si>
    <t>2224 (сломан) замена 13.04.2022 на № 4229, 2226 (02.10.2020)</t>
  </si>
  <si>
    <t>29.06.2022 установлен бункер из с.Мысы по ул.Центральная; 4980 - установлен 24.06.2022 (сгорел); 4390 - установлен 17.06.2022 (украден);  2223 (02.10.2020)- СГОРЕЛ ВМЕСТЕ С ПЛОЩАДКОЙ 06.06.2022</t>
  </si>
  <si>
    <t>2131,2132,2147-сломано колесо замена на - 4391</t>
  </si>
  <si>
    <t>2175,2156-сломан, заменен на 2162, 2159</t>
  </si>
  <si>
    <t>2168,2169,2177,2163 - на МУП КВ</t>
  </si>
  <si>
    <t>2173,2182     2450, 2452, 2462, 2439 (03.10.2020)</t>
  </si>
  <si>
    <r>
      <t xml:space="preserve">Индивидуальлный предприниматель Киракосян Мартин Вазгенович, </t>
    </r>
    <r>
      <rPr>
        <sz val="13"/>
        <rFont val="Times New Roman"/>
        <family val="1"/>
        <charset val="204"/>
      </rPr>
      <t>ОГРНИП: 321595800092549</t>
    </r>
  </si>
  <si>
    <r>
      <t xml:space="preserve">Реестр мест (площадок) накопления твердых коммунальных отходов, </t>
    </r>
    <r>
      <rPr>
        <b/>
        <u/>
        <sz val="14"/>
        <rFont val="Times New Roman"/>
        <family val="1"/>
        <charset val="204"/>
      </rPr>
      <t>планируемых</t>
    </r>
    <r>
      <rPr>
        <b/>
        <sz val="14"/>
        <rFont val="Times New Roman"/>
        <family val="1"/>
        <charset val="204"/>
      </rPr>
      <t xml:space="preserve"> к размещению на территории Краснокамского городского округа (ИЖС)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</si>
</sst>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руб.-419];[Red]&quot;-&quot;#,##0.00&quot; &quot;[$руб.-419]"/>
    <numFmt numFmtId="165" formatCode="0.0"/>
  </numFmts>
  <fonts count="23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rgb="FF000000"/>
      <name val="Arial"/>
      <family val="2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4"/>
      <color indexed="8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24"/>
      <name val="Times New Roman"/>
      <family val="1"/>
      <charset val="204"/>
    </font>
    <font>
      <sz val="14"/>
      <name val="Times New Roman"/>
      <family val="1"/>
      <charset val="204"/>
    </font>
    <font>
      <sz val="9"/>
      <color indexed="64"/>
      <name val="Arial"/>
      <family val="2"/>
      <charset val="204"/>
    </font>
    <font>
      <b/>
      <sz val="1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2.5"/>
      <name val="Times New Roman"/>
      <family val="1"/>
      <charset val="204"/>
    </font>
    <font>
      <sz val="13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4" fontId="5" fillId="0" borderId="0"/>
    <xf numFmtId="0" fontId="6" fillId="0" borderId="0"/>
    <xf numFmtId="0" fontId="1" fillId="0" borderId="0"/>
  </cellStyleXfs>
  <cellXfs count="167">
    <xf numFmtId="0" fontId="0" fillId="0" borderId="0" xfId="0"/>
    <xf numFmtId="49" fontId="8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1" xfId="2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7" fillId="0" borderId="1" xfId="2" applyFont="1" applyFill="1" applyBorder="1" applyAlignment="1">
      <alignment horizontal="center" vertical="top" wrapText="1"/>
    </xf>
    <xf numFmtId="2" fontId="7" fillId="0" borderId="1" xfId="2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2" fillId="0" borderId="0" xfId="0" applyNumberFormat="1" applyFont="1" applyAlignment="1">
      <alignment horizontal="right" vertical="top"/>
    </xf>
    <xf numFmtId="0" fontId="12" fillId="0" borderId="0" xfId="0" applyNumberFormat="1" applyFont="1" applyAlignment="1">
      <alignment vertical="top"/>
    </xf>
    <xf numFmtId="0" fontId="12" fillId="0" borderId="1" xfId="0" applyNumberFormat="1" applyFont="1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/>
    <xf numFmtId="0" fontId="0" fillId="5" borderId="1" xfId="0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left" vertical="top" wrapText="1"/>
    </xf>
    <xf numFmtId="49" fontId="7" fillId="0" borderId="1" xfId="2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/>
    </xf>
    <xf numFmtId="0" fontId="11" fillId="0" borderId="1" xfId="2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2" fontId="11" fillId="0" borderId="1" xfId="2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/>
    </xf>
    <xf numFmtId="0" fontId="9" fillId="0" borderId="0" xfId="0" applyFont="1" applyFill="1"/>
    <xf numFmtId="0" fontId="7" fillId="0" borderId="4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vertical="top"/>
    </xf>
    <xf numFmtId="0" fontId="16" fillId="0" borderId="0" xfId="0" applyFont="1" applyFill="1" applyBorder="1" applyAlignment="1">
      <alignment horizontal="center" textRotation="90" wrapText="1"/>
    </xf>
    <xf numFmtId="0" fontId="15" fillId="0" borderId="2" xfId="1" applyFont="1" applyFill="1" applyBorder="1" applyAlignment="1">
      <alignment vertical="center" wrapText="1"/>
    </xf>
    <xf numFmtId="49" fontId="15" fillId="0" borderId="2" xfId="1" applyNumberFormat="1" applyFont="1" applyFill="1" applyBorder="1" applyAlignment="1">
      <alignment horizontal="center" textRotation="90" wrapText="1"/>
    </xf>
    <xf numFmtId="0" fontId="15" fillId="0" borderId="2" xfId="1" applyFont="1" applyFill="1" applyBorder="1" applyAlignment="1">
      <alignment horizontal="center" textRotation="90" wrapText="1"/>
    </xf>
    <xf numFmtId="0" fontId="15" fillId="0" borderId="2" xfId="1" applyFont="1" applyFill="1" applyBorder="1" applyAlignment="1">
      <alignment textRotation="90" wrapText="1"/>
    </xf>
    <xf numFmtId="2" fontId="15" fillId="0" borderId="2" xfId="1" applyNumberFormat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center" textRotation="90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center" vertical="center" textRotation="90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top"/>
    </xf>
    <xf numFmtId="0" fontId="7" fillId="0" borderId="1" xfId="2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left" vertical="top" wrapText="1"/>
    </xf>
    <xf numFmtId="49" fontId="7" fillId="0" borderId="3" xfId="2" applyNumberFormat="1" applyFont="1" applyFill="1" applyBorder="1" applyAlignment="1">
      <alignment horizontal="center" vertical="top" wrapText="1"/>
    </xf>
    <xf numFmtId="49" fontId="7" fillId="0" borderId="3" xfId="2" applyNumberFormat="1" applyFont="1" applyFill="1" applyBorder="1" applyAlignment="1">
      <alignment horizontal="left" vertical="top" wrapText="1"/>
    </xf>
    <xf numFmtId="0" fontId="7" fillId="0" borderId="3" xfId="2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/>
    </xf>
    <xf numFmtId="0" fontId="17" fillId="0" borderId="0" xfId="0" applyFont="1" applyFill="1"/>
    <xf numFmtId="0" fontId="7" fillId="0" borderId="5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top"/>
    </xf>
    <xf numFmtId="1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left" vertical="top" wrapText="1"/>
    </xf>
    <xf numFmtId="2" fontId="7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left" vertical="center"/>
    </xf>
    <xf numFmtId="1" fontId="7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/>
    <xf numFmtId="0" fontId="19" fillId="0" borderId="0" xfId="0" applyFont="1" applyFill="1"/>
    <xf numFmtId="49" fontId="15" fillId="0" borderId="5" xfId="0" applyNumberFormat="1" applyFont="1" applyFill="1" applyBorder="1" applyAlignment="1">
      <alignment vertical="top"/>
    </xf>
    <xf numFmtId="49" fontId="15" fillId="0" borderId="6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horizontal="left" vertical="top" wrapText="1"/>
    </xf>
    <xf numFmtId="0" fontId="7" fillId="0" borderId="2" xfId="2" applyFont="1" applyFill="1" applyBorder="1" applyAlignment="1">
      <alignment horizontal="left" vertical="top" wrapText="1"/>
    </xf>
    <xf numFmtId="49" fontId="7" fillId="0" borderId="2" xfId="0" applyNumberFormat="1" applyFont="1" applyFill="1" applyBorder="1" applyAlignment="1">
      <alignment horizontal="left" vertical="top" wrapText="1"/>
    </xf>
    <xf numFmtId="0" fontId="11" fillId="0" borderId="2" xfId="2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top" wrapText="1"/>
    </xf>
    <xf numFmtId="2" fontId="7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left" vertical="top"/>
    </xf>
    <xf numFmtId="0" fontId="7" fillId="0" borderId="2" xfId="0" applyNumberFormat="1" applyFont="1" applyFill="1" applyBorder="1" applyAlignment="1">
      <alignment horizontal="center" vertical="top" wrapText="1"/>
    </xf>
    <xf numFmtId="165" fontId="11" fillId="0" borderId="1" xfId="2" applyNumberFormat="1" applyFont="1" applyFill="1" applyBorder="1" applyAlignment="1">
      <alignment horizontal="left" vertical="top" wrapText="1"/>
    </xf>
    <xf numFmtId="0" fontId="20" fillId="0" borderId="0" xfId="0" applyFont="1" applyFill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  <xf numFmtId="2" fontId="7" fillId="0" borderId="1" xfId="0" applyNumberFormat="1" applyFont="1" applyFill="1" applyBorder="1" applyAlignment="1">
      <alignment horizontal="left" vertical="top" wrapText="1"/>
    </xf>
    <xf numFmtId="49" fontId="15" fillId="0" borderId="4" xfId="0" applyNumberFormat="1" applyFont="1" applyFill="1" applyBorder="1" applyAlignment="1">
      <alignment horizontal="center" vertical="top"/>
    </xf>
    <xf numFmtId="49" fontId="15" fillId="0" borderId="5" xfId="0" applyNumberFormat="1" applyFont="1" applyFill="1" applyBorder="1" applyAlignment="1">
      <alignment horizontal="center" vertical="top"/>
    </xf>
    <xf numFmtId="49" fontId="15" fillId="0" borderId="6" xfId="0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 horizontal="left" wrapText="1"/>
    </xf>
    <xf numFmtId="0" fontId="14" fillId="0" borderId="9" xfId="0" applyFont="1" applyFill="1" applyBorder="1" applyAlignment="1">
      <alignment horizontal="center" vertical="center" textRotation="90" wrapText="1"/>
    </xf>
    <xf numFmtId="0" fontId="15" fillId="0" borderId="2" xfId="1" applyFont="1" applyFill="1" applyBorder="1" applyAlignment="1">
      <alignment horizontal="center" vertical="center" textRotation="90" wrapText="1"/>
    </xf>
    <xf numFmtId="0" fontId="15" fillId="0" borderId="7" xfId="1" applyFont="1" applyFill="1" applyBorder="1" applyAlignment="1">
      <alignment horizontal="center" vertical="center" textRotation="90" wrapText="1"/>
    </xf>
    <xf numFmtId="0" fontId="15" fillId="0" borderId="3" xfId="1" applyFont="1" applyFill="1" applyBorder="1" applyAlignment="1">
      <alignment horizontal="center" vertical="center" textRotation="90" wrapText="1"/>
    </xf>
    <xf numFmtId="49" fontId="15" fillId="0" borderId="2" xfId="1" applyNumberFormat="1" applyFont="1" applyFill="1" applyBorder="1" applyAlignment="1">
      <alignment horizontal="center" vertical="center" wrapText="1"/>
    </xf>
    <xf numFmtId="49" fontId="15" fillId="0" borderId="7" xfId="1" applyNumberFormat="1" applyFont="1" applyFill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textRotation="90" wrapText="1"/>
    </xf>
    <xf numFmtId="0" fontId="15" fillId="0" borderId="3" xfId="1" applyNumberFormat="1" applyFont="1" applyFill="1" applyBorder="1" applyAlignment="1">
      <alignment horizontal="center" textRotation="90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textRotation="90" wrapText="1"/>
    </xf>
    <xf numFmtId="0" fontId="15" fillId="0" borderId="7" xfId="0" applyFont="1" applyFill="1" applyBorder="1" applyAlignment="1">
      <alignment horizontal="center" textRotation="90" wrapText="1"/>
    </xf>
    <xf numFmtId="0" fontId="15" fillId="0" borderId="3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 textRotation="90" wrapText="1"/>
    </xf>
    <xf numFmtId="0" fontId="13" fillId="0" borderId="0" xfId="0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/>
    </xf>
    <xf numFmtId="49" fontId="15" fillId="0" borderId="5" xfId="0" applyNumberFormat="1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>
      <alignment horizontal="center" vertical="center"/>
    </xf>
    <xf numFmtId="0" fontId="15" fillId="0" borderId="13" xfId="1" applyFont="1" applyFill="1" applyBorder="1" applyAlignment="1">
      <alignment horizontal="center" vertical="center" wrapText="1"/>
    </xf>
    <xf numFmtId="0" fontId="15" fillId="0" borderId="14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15" fillId="0" borderId="15" xfId="1" applyFont="1" applyFill="1" applyBorder="1" applyAlignment="1">
      <alignment horizontal="center" vertical="center" wrapText="1"/>
    </xf>
    <xf numFmtId="0" fontId="15" fillId="0" borderId="12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10">
    <cellStyle name="Excel Built-in Explanatory Text" xfId="3"/>
    <cellStyle name="Excel Built-in Normal" xfId="1"/>
    <cellStyle name="Excel Built-in Normal 1" xfId="2"/>
    <cellStyle name="Heading" xfId="4"/>
    <cellStyle name="Heading1" xfId="5"/>
    <cellStyle name="Result" xfId="6"/>
    <cellStyle name="Result2" xfId="7"/>
    <cellStyle name="Обычный" xfId="0" builtinId="0"/>
    <cellStyle name="Обычный 2" xfId="8"/>
    <cellStyle name="Обычный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450"/>
  <sheetViews>
    <sheetView tabSelected="1" view="pageBreakPreview" zoomScale="60" zoomScaleNormal="50" zoomScalePageLayoutView="10" workbookViewId="0">
      <pane ySplit="5" topLeftCell="A30" activePane="bottomLeft" state="frozen"/>
      <selection pane="bottomLeft" activeCell="W305" sqref="W305"/>
    </sheetView>
  </sheetViews>
  <sheetFormatPr defaultRowHeight="30.75" x14ac:dyDescent="0.3"/>
  <cols>
    <col min="1" max="1" width="10" style="113" customWidth="1"/>
    <col min="2" max="2" width="8" style="46" hidden="1" customWidth="1"/>
    <col min="3" max="3" width="8" style="114" customWidth="1"/>
    <col min="4" max="4" width="34.7109375" style="115" customWidth="1"/>
    <col min="5" max="5" width="45.85546875" style="47" hidden="1" customWidth="1"/>
    <col min="6" max="6" width="34.7109375" style="116" customWidth="1"/>
    <col min="7" max="7" width="20.42578125" style="113" hidden="1" customWidth="1"/>
    <col min="8" max="8" width="17.140625" style="117" hidden="1" customWidth="1"/>
    <col min="9" max="9" width="15.42578125" style="117" hidden="1" customWidth="1"/>
    <col min="10" max="10" width="17.140625" style="117" hidden="1" customWidth="1"/>
    <col min="11" max="11" width="8" style="116" customWidth="1"/>
    <col min="12" max="12" width="11.28515625" style="118" customWidth="1"/>
    <col min="13" max="13" width="47.85546875" style="116" customWidth="1"/>
    <col min="14" max="15" width="25" style="116" hidden="1" customWidth="1"/>
    <col min="16" max="16" width="25" style="113" hidden="1" customWidth="1"/>
    <col min="17" max="17" width="11.140625" style="119" customWidth="1"/>
    <col min="18" max="18" width="34.7109375" style="120" customWidth="1"/>
    <col min="19" max="19" width="12.5703125" style="116" customWidth="1"/>
    <col min="20" max="20" width="7.85546875" style="116" customWidth="1"/>
    <col min="21" max="21" width="34.7109375" style="47" customWidth="1"/>
    <col min="22" max="22" width="8" style="116" customWidth="1"/>
    <col min="23" max="23" width="34.7109375" style="115" customWidth="1"/>
    <col min="24" max="24" width="18.5703125" style="88" hidden="1" customWidth="1"/>
    <col min="25" max="25" width="56.7109375" style="48" hidden="1" customWidth="1"/>
    <col min="26" max="26" width="12.42578125" style="45" hidden="1" customWidth="1"/>
    <col min="27" max="27" width="9.85546875" style="46" hidden="1" customWidth="1"/>
    <col min="28" max="31" width="8.42578125" style="46" hidden="1" customWidth="1"/>
    <col min="32" max="36" width="12.42578125" style="46" hidden="1" customWidth="1"/>
    <col min="37" max="37" width="12.140625" style="46" hidden="1" customWidth="1"/>
    <col min="38" max="51" width="8.42578125" style="46" hidden="1" customWidth="1"/>
    <col min="52" max="1034" width="8.42578125" style="46" customWidth="1"/>
    <col min="1035" max="16384" width="9.140625" style="46"/>
  </cols>
  <sheetData>
    <row r="1" spans="1:37" ht="35.25" customHeight="1" x14ac:dyDescent="0.25">
      <c r="A1" s="146" t="s">
        <v>137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43"/>
      <c r="Y1" s="44"/>
      <c r="AB1" s="2" t="s">
        <v>320</v>
      </c>
      <c r="AC1" s="2" t="s">
        <v>1318</v>
      </c>
      <c r="AD1" s="2" t="s">
        <v>1319</v>
      </c>
      <c r="AE1" s="2" t="s">
        <v>1320</v>
      </c>
      <c r="AF1" s="47" t="s">
        <v>1966</v>
      </c>
    </row>
    <row r="2" spans="1:37" s="50" customFormat="1" ht="8.25" customHeight="1" x14ac:dyDescent="0.25">
      <c r="A2" s="156"/>
      <c r="B2" s="156"/>
      <c r="C2" s="156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8"/>
      <c r="Y2" s="48"/>
      <c r="Z2" s="49"/>
    </row>
    <row r="3" spans="1:37" s="51" customFormat="1" ht="30.75" customHeight="1" x14ac:dyDescent="0.3">
      <c r="A3" s="159" t="s">
        <v>0</v>
      </c>
      <c r="B3" s="142" t="s">
        <v>355</v>
      </c>
      <c r="C3" s="142" t="s">
        <v>1361</v>
      </c>
      <c r="D3" s="150" t="s">
        <v>903</v>
      </c>
      <c r="E3" s="152" t="s">
        <v>111</v>
      </c>
      <c r="F3" s="150" t="s">
        <v>904</v>
      </c>
      <c r="G3" s="151"/>
      <c r="H3" s="151"/>
      <c r="I3" s="151"/>
      <c r="J3" s="151"/>
      <c r="K3" s="151"/>
      <c r="L3" s="152"/>
      <c r="M3" s="139" t="s">
        <v>138</v>
      </c>
      <c r="N3" s="139" t="s">
        <v>138</v>
      </c>
      <c r="O3" s="139" t="s">
        <v>112</v>
      </c>
      <c r="P3" s="130" t="s">
        <v>272</v>
      </c>
      <c r="Q3" s="135" t="s">
        <v>139</v>
      </c>
      <c r="R3" s="136"/>
      <c r="S3" s="136"/>
      <c r="T3" s="136"/>
      <c r="U3" s="136"/>
      <c r="V3" s="136"/>
      <c r="W3" s="137"/>
      <c r="X3" s="127" t="s">
        <v>384</v>
      </c>
      <c r="Y3" s="139" t="s">
        <v>266</v>
      </c>
      <c r="Z3" s="126" t="s">
        <v>318</v>
      </c>
      <c r="AB3" s="52" t="s">
        <v>391</v>
      </c>
      <c r="AF3" s="145" t="s">
        <v>351</v>
      </c>
      <c r="AG3" s="145" t="s">
        <v>352</v>
      </c>
      <c r="AH3" s="145" t="s">
        <v>353</v>
      </c>
      <c r="AI3" s="145" t="s">
        <v>415</v>
      </c>
      <c r="AJ3" s="53"/>
      <c r="AK3" s="145" t="s">
        <v>354</v>
      </c>
    </row>
    <row r="4" spans="1:37" s="51" customFormat="1" ht="23.25" customHeight="1" x14ac:dyDescent="0.3">
      <c r="A4" s="160"/>
      <c r="B4" s="143"/>
      <c r="C4" s="143"/>
      <c r="D4" s="162"/>
      <c r="E4" s="163"/>
      <c r="F4" s="153"/>
      <c r="G4" s="154"/>
      <c r="H4" s="154"/>
      <c r="I4" s="154"/>
      <c r="J4" s="154"/>
      <c r="K4" s="154"/>
      <c r="L4" s="155"/>
      <c r="M4" s="140"/>
      <c r="N4" s="140"/>
      <c r="O4" s="140"/>
      <c r="P4" s="131"/>
      <c r="Q4" s="133" t="s">
        <v>772</v>
      </c>
      <c r="R4" s="130" t="s">
        <v>140</v>
      </c>
      <c r="S4" s="135" t="s">
        <v>1323</v>
      </c>
      <c r="T4" s="136"/>
      <c r="U4" s="136"/>
      <c r="V4" s="136"/>
      <c r="W4" s="137"/>
      <c r="X4" s="128"/>
      <c r="Y4" s="140"/>
      <c r="Z4" s="126"/>
      <c r="AB4" s="52" t="s">
        <v>644</v>
      </c>
      <c r="AF4" s="145"/>
      <c r="AG4" s="145"/>
      <c r="AH4" s="145"/>
      <c r="AI4" s="145"/>
      <c r="AJ4" s="53"/>
      <c r="AK4" s="145"/>
    </row>
    <row r="5" spans="1:37" s="60" customFormat="1" ht="129" customHeight="1" x14ac:dyDescent="0.3">
      <c r="A5" s="161"/>
      <c r="B5" s="144"/>
      <c r="C5" s="144"/>
      <c r="D5" s="153"/>
      <c r="E5" s="155"/>
      <c r="F5" s="54" t="s">
        <v>769</v>
      </c>
      <c r="G5" s="55" t="s">
        <v>4</v>
      </c>
      <c r="H5" s="56" t="s">
        <v>1524</v>
      </c>
      <c r="I5" s="56" t="s">
        <v>1525</v>
      </c>
      <c r="J5" s="56" t="s">
        <v>1526</v>
      </c>
      <c r="K5" s="57" t="s">
        <v>771</v>
      </c>
      <c r="L5" s="58" t="s">
        <v>770</v>
      </c>
      <c r="M5" s="141"/>
      <c r="N5" s="141"/>
      <c r="O5" s="141"/>
      <c r="P5" s="132"/>
      <c r="Q5" s="134"/>
      <c r="R5" s="132"/>
      <c r="S5" s="59" t="s">
        <v>1</v>
      </c>
      <c r="T5" s="59" t="s">
        <v>774</v>
      </c>
      <c r="U5" s="59" t="s">
        <v>773</v>
      </c>
      <c r="V5" s="59" t="s">
        <v>775</v>
      </c>
      <c r="W5" s="59" t="s">
        <v>776</v>
      </c>
      <c r="X5" s="129"/>
      <c r="Y5" s="141"/>
      <c r="Z5" s="126"/>
      <c r="AB5" s="61" t="s">
        <v>319</v>
      </c>
      <c r="AD5" s="62"/>
      <c r="AE5" s="62"/>
      <c r="AF5" s="145"/>
      <c r="AG5" s="145"/>
      <c r="AH5" s="145"/>
      <c r="AI5" s="145"/>
      <c r="AJ5" s="53" t="s">
        <v>1317</v>
      </c>
      <c r="AK5" s="145"/>
    </row>
    <row r="6" spans="1:37" s="69" customFormat="1" ht="20.25" customHeight="1" x14ac:dyDescent="0.25">
      <c r="A6" s="63">
        <v>1</v>
      </c>
      <c r="B6" s="64"/>
      <c r="C6" s="65">
        <v>2</v>
      </c>
      <c r="D6" s="1" t="s">
        <v>475</v>
      </c>
      <c r="E6" s="1"/>
      <c r="F6" s="64">
        <v>4</v>
      </c>
      <c r="G6" s="64"/>
      <c r="H6" s="66"/>
      <c r="I6" s="66"/>
      <c r="J6" s="66"/>
      <c r="K6" s="1" t="s">
        <v>1362</v>
      </c>
      <c r="L6" s="67">
        <v>6</v>
      </c>
      <c r="M6" s="1" t="s">
        <v>1358</v>
      </c>
      <c r="N6" s="1"/>
      <c r="O6" s="1"/>
      <c r="P6" s="64"/>
      <c r="Q6" s="68">
        <v>8</v>
      </c>
      <c r="R6" s="64">
        <v>9</v>
      </c>
      <c r="S6" s="1" t="s">
        <v>1359</v>
      </c>
      <c r="T6" s="64">
        <v>11</v>
      </c>
      <c r="U6" s="65">
        <v>12</v>
      </c>
      <c r="V6" s="1" t="s">
        <v>777</v>
      </c>
      <c r="W6" s="1" t="s">
        <v>1360</v>
      </c>
      <c r="X6" s="64"/>
      <c r="Y6" s="1" t="s">
        <v>279</v>
      </c>
      <c r="Z6" s="49"/>
    </row>
    <row r="7" spans="1:37" s="69" customFormat="1" ht="20.25" customHeight="1" x14ac:dyDescent="0.25">
      <c r="A7" s="147" t="s">
        <v>780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9"/>
      <c r="X7" s="70"/>
      <c r="Y7" s="26"/>
      <c r="Z7" s="49"/>
    </row>
    <row r="8" spans="1:37" ht="72" customHeight="1" x14ac:dyDescent="0.25">
      <c r="A8" s="71" t="s">
        <v>778</v>
      </c>
      <c r="B8" s="28" t="s">
        <v>360</v>
      </c>
      <c r="C8" s="5" t="s">
        <v>1363</v>
      </c>
      <c r="D8" s="4" t="s">
        <v>2</v>
      </c>
      <c r="E8" s="4" t="s">
        <v>119</v>
      </c>
      <c r="F8" s="4" t="s">
        <v>658</v>
      </c>
      <c r="G8" s="27" t="s">
        <v>6</v>
      </c>
      <c r="H8" s="35">
        <f>6*2</f>
        <v>12</v>
      </c>
      <c r="I8" s="35">
        <f>10*6-H8</f>
        <v>48</v>
      </c>
      <c r="J8" s="35">
        <f>(2+6+2+2)*1.6*2</f>
        <v>38.400000000000006</v>
      </c>
      <c r="K8" s="7">
        <v>2</v>
      </c>
      <c r="L8" s="8">
        <v>2.2000000000000002</v>
      </c>
      <c r="M8" s="6" t="s">
        <v>494</v>
      </c>
      <c r="N8" s="6" t="s">
        <v>494</v>
      </c>
      <c r="O8" s="4" t="s">
        <v>267</v>
      </c>
      <c r="P8" s="27" t="s">
        <v>6</v>
      </c>
      <c r="Q8" s="72" t="s">
        <v>197</v>
      </c>
      <c r="R8" s="27" t="s">
        <v>141</v>
      </c>
      <c r="S8" s="7">
        <f t="shared" ref="S8:S40" si="0">T8+V8</f>
        <v>1</v>
      </c>
      <c r="T8" s="7">
        <v>1</v>
      </c>
      <c r="U8" s="4" t="s">
        <v>145</v>
      </c>
      <c r="V8" s="7">
        <v>0</v>
      </c>
      <c r="W8" s="27" t="s">
        <v>141</v>
      </c>
      <c r="X8" s="73">
        <v>132</v>
      </c>
      <c r="Y8" s="5" t="s">
        <v>265</v>
      </c>
      <c r="Z8" s="45" t="s">
        <v>425</v>
      </c>
      <c r="AF8" s="3"/>
      <c r="AG8" s="3"/>
      <c r="AH8" s="3"/>
      <c r="AI8" s="3"/>
      <c r="AJ8" s="3"/>
      <c r="AK8" s="31"/>
    </row>
    <row r="9" spans="1:37" ht="70.5" customHeight="1" x14ac:dyDescent="0.25">
      <c r="A9" s="71" t="s">
        <v>779</v>
      </c>
      <c r="B9" s="28" t="s">
        <v>360</v>
      </c>
      <c r="C9" s="5" t="s">
        <v>1363</v>
      </c>
      <c r="D9" s="4" t="s">
        <v>3</v>
      </c>
      <c r="E9" s="4" t="s">
        <v>119</v>
      </c>
      <c r="F9" s="4" t="s">
        <v>659</v>
      </c>
      <c r="G9" s="27" t="s">
        <v>6</v>
      </c>
      <c r="H9" s="35">
        <f>4.5*2</f>
        <v>9</v>
      </c>
      <c r="I9" s="35">
        <f>8.5*6-H9</f>
        <v>42</v>
      </c>
      <c r="J9" s="35">
        <f>(2+4.5+2)*1.6*2</f>
        <v>27.200000000000003</v>
      </c>
      <c r="K9" s="7">
        <v>2</v>
      </c>
      <c r="L9" s="8">
        <v>2.2000000000000002</v>
      </c>
      <c r="M9" s="4" t="s">
        <v>494</v>
      </c>
      <c r="N9" s="4" t="s">
        <v>494</v>
      </c>
      <c r="O9" s="4" t="s">
        <v>1974</v>
      </c>
      <c r="P9" s="27" t="s">
        <v>1975</v>
      </c>
      <c r="Q9" s="72">
        <v>0</v>
      </c>
      <c r="R9" s="27" t="s">
        <v>141</v>
      </c>
      <c r="S9" s="7">
        <f t="shared" si="0"/>
        <v>1</v>
      </c>
      <c r="T9" s="7">
        <v>1</v>
      </c>
      <c r="U9" s="4" t="s">
        <v>146</v>
      </c>
      <c r="V9" s="7">
        <v>0</v>
      </c>
      <c r="W9" s="27" t="s">
        <v>141</v>
      </c>
      <c r="X9" s="73">
        <v>42</v>
      </c>
      <c r="Y9" s="5" t="s">
        <v>1687</v>
      </c>
      <c r="Z9" s="45" t="s">
        <v>425</v>
      </c>
      <c r="AF9" s="3"/>
      <c r="AG9" s="3"/>
      <c r="AH9" s="3"/>
      <c r="AI9" s="3"/>
      <c r="AJ9" s="3"/>
      <c r="AK9" s="31"/>
    </row>
    <row r="10" spans="1:37" ht="70.5" customHeight="1" x14ac:dyDescent="0.25">
      <c r="A10" s="71" t="s">
        <v>1005</v>
      </c>
      <c r="B10" s="28" t="s">
        <v>360</v>
      </c>
      <c r="C10" s="5" t="s">
        <v>1363</v>
      </c>
      <c r="D10" s="4" t="s">
        <v>1501</v>
      </c>
      <c r="E10" s="4" t="s">
        <v>1408</v>
      </c>
      <c r="F10" s="4" t="s">
        <v>1407</v>
      </c>
      <c r="G10" s="27" t="s">
        <v>6</v>
      </c>
      <c r="H10" s="35">
        <v>0</v>
      </c>
      <c r="I10" s="35">
        <f>5.8*5.8-1.76*1.8</f>
        <v>30.472000000000001</v>
      </c>
      <c r="J10" s="35">
        <v>0</v>
      </c>
      <c r="K10" s="7">
        <v>1</v>
      </c>
      <c r="L10" s="8">
        <v>8</v>
      </c>
      <c r="M10" s="4" t="s">
        <v>494</v>
      </c>
      <c r="N10" s="4" t="s">
        <v>494</v>
      </c>
      <c r="O10" s="4" t="s">
        <v>494</v>
      </c>
      <c r="P10" s="27" t="s">
        <v>11</v>
      </c>
      <c r="Q10" s="72">
        <v>0</v>
      </c>
      <c r="R10" s="27" t="s">
        <v>141</v>
      </c>
      <c r="S10" s="7">
        <f t="shared" ref="S10" si="1">T10+V10</f>
        <v>8</v>
      </c>
      <c r="T10" s="7">
        <v>8</v>
      </c>
      <c r="U10" s="4" t="s">
        <v>1414</v>
      </c>
      <c r="V10" s="7">
        <v>0</v>
      </c>
      <c r="W10" s="27" t="s">
        <v>141</v>
      </c>
      <c r="X10" s="73">
        <v>256</v>
      </c>
      <c r="Y10" s="5" t="s">
        <v>1687</v>
      </c>
      <c r="AF10" s="3"/>
      <c r="AG10" s="3"/>
      <c r="AH10" s="3"/>
      <c r="AI10" s="3"/>
      <c r="AJ10" s="3"/>
      <c r="AK10" s="31"/>
    </row>
    <row r="11" spans="1:37" ht="84" customHeight="1" x14ac:dyDescent="0.25">
      <c r="A11" s="71" t="s">
        <v>1006</v>
      </c>
      <c r="B11" s="28" t="s">
        <v>360</v>
      </c>
      <c r="C11" s="5" t="s">
        <v>1413</v>
      </c>
      <c r="D11" s="4" t="s">
        <v>747</v>
      </c>
      <c r="E11" s="4" t="s">
        <v>1409</v>
      </c>
      <c r="F11" s="4" t="s">
        <v>660</v>
      </c>
      <c r="G11" s="27" t="s">
        <v>6</v>
      </c>
      <c r="H11" s="35">
        <f>7.5*2</f>
        <v>15</v>
      </c>
      <c r="I11" s="35">
        <f>11.5*6-H11</f>
        <v>54</v>
      </c>
      <c r="J11" s="35">
        <f>(2+7.5+2+2)*1.6*2</f>
        <v>43.2</v>
      </c>
      <c r="K11" s="7">
        <v>4</v>
      </c>
      <c r="L11" s="8">
        <v>4.4000000000000004</v>
      </c>
      <c r="M11" s="4" t="s">
        <v>494</v>
      </c>
      <c r="N11" s="4" t="s">
        <v>494</v>
      </c>
      <c r="O11" s="4" t="s">
        <v>1974</v>
      </c>
      <c r="P11" s="27"/>
      <c r="Q11" s="72">
        <v>0</v>
      </c>
      <c r="R11" s="27" t="s">
        <v>141</v>
      </c>
      <c r="S11" s="7">
        <f t="shared" si="0"/>
        <v>8</v>
      </c>
      <c r="T11" s="7">
        <v>8</v>
      </c>
      <c r="U11" s="4" t="s">
        <v>1414</v>
      </c>
      <c r="V11" s="7">
        <v>0</v>
      </c>
      <c r="W11" s="27" t="s">
        <v>141</v>
      </c>
      <c r="X11" s="73">
        <v>256</v>
      </c>
      <c r="Y11" s="5" t="s">
        <v>714</v>
      </c>
      <c r="Z11" s="45" t="s">
        <v>425</v>
      </c>
      <c r="AF11" s="3"/>
      <c r="AG11" s="3"/>
      <c r="AH11" s="3"/>
      <c r="AI11" s="3"/>
      <c r="AJ11" s="3"/>
      <c r="AK11" s="31"/>
    </row>
    <row r="12" spans="1:37" ht="84" customHeight="1" x14ac:dyDescent="0.25">
      <c r="A12" s="71" t="s">
        <v>1007</v>
      </c>
      <c r="B12" s="28" t="s">
        <v>360</v>
      </c>
      <c r="C12" s="5" t="s">
        <v>1718</v>
      </c>
      <c r="D12" s="4" t="s">
        <v>1502</v>
      </c>
      <c r="E12" s="4" t="s">
        <v>1410</v>
      </c>
      <c r="F12" s="27" t="s">
        <v>141</v>
      </c>
      <c r="G12" s="27" t="s">
        <v>141</v>
      </c>
      <c r="H12" s="27" t="s">
        <v>141</v>
      </c>
      <c r="I12" s="27" t="s">
        <v>141</v>
      </c>
      <c r="J12" s="27" t="s">
        <v>141</v>
      </c>
      <c r="K12" s="27" t="s">
        <v>141</v>
      </c>
      <c r="L12" s="27" t="s">
        <v>141</v>
      </c>
      <c r="M12" s="27" t="s">
        <v>141</v>
      </c>
      <c r="N12" s="27" t="s">
        <v>141</v>
      </c>
      <c r="O12" s="27" t="s">
        <v>141</v>
      </c>
      <c r="P12" s="27" t="s">
        <v>141</v>
      </c>
      <c r="Q12" s="27" t="s">
        <v>141</v>
      </c>
      <c r="R12" s="27" t="s">
        <v>141</v>
      </c>
      <c r="S12" s="27" t="s">
        <v>141</v>
      </c>
      <c r="T12" s="27" t="s">
        <v>141</v>
      </c>
      <c r="U12" s="27" t="s">
        <v>141</v>
      </c>
      <c r="V12" s="27" t="s">
        <v>141</v>
      </c>
      <c r="W12" s="27" t="s">
        <v>141</v>
      </c>
      <c r="X12" s="73">
        <v>315</v>
      </c>
      <c r="Y12" s="5" t="s">
        <v>1687</v>
      </c>
      <c r="AF12" s="3"/>
      <c r="AG12" s="3"/>
      <c r="AH12" s="3"/>
      <c r="AI12" s="3"/>
      <c r="AJ12" s="3"/>
      <c r="AK12" s="31"/>
    </row>
    <row r="13" spans="1:37" ht="73.5" customHeight="1" x14ac:dyDescent="0.25">
      <c r="A13" s="71" t="s">
        <v>1008</v>
      </c>
      <c r="B13" s="28" t="s">
        <v>360</v>
      </c>
      <c r="C13" s="5" t="s">
        <v>1363</v>
      </c>
      <c r="D13" s="4" t="s">
        <v>739</v>
      </c>
      <c r="E13" s="4" t="s">
        <v>665</v>
      </c>
      <c r="F13" s="4" t="s">
        <v>660</v>
      </c>
      <c r="G13" s="27" t="s">
        <v>6</v>
      </c>
      <c r="H13" s="35">
        <f>7.5*2</f>
        <v>15</v>
      </c>
      <c r="I13" s="35">
        <f>11.5*6-H13</f>
        <v>54</v>
      </c>
      <c r="J13" s="35">
        <f>(2+7.5+2+2)*1.6*2</f>
        <v>43.2</v>
      </c>
      <c r="K13" s="7">
        <v>4</v>
      </c>
      <c r="L13" s="8">
        <v>4.4000000000000004</v>
      </c>
      <c r="M13" s="6" t="s">
        <v>494</v>
      </c>
      <c r="N13" s="6" t="s">
        <v>494</v>
      </c>
      <c r="O13" s="4" t="s">
        <v>1974</v>
      </c>
      <c r="P13" s="27" t="s">
        <v>2048</v>
      </c>
      <c r="Q13" s="72">
        <v>0</v>
      </c>
      <c r="R13" s="27" t="s">
        <v>141</v>
      </c>
      <c r="S13" s="7">
        <f t="shared" si="0"/>
        <v>6</v>
      </c>
      <c r="T13" s="7">
        <v>6</v>
      </c>
      <c r="U13" s="4" t="s">
        <v>1415</v>
      </c>
      <c r="V13" s="7">
        <v>0</v>
      </c>
      <c r="W13" s="27" t="s">
        <v>141</v>
      </c>
      <c r="X13" s="73">
        <v>315</v>
      </c>
      <c r="Y13" s="5" t="s">
        <v>714</v>
      </c>
      <c r="Z13" s="45" t="s">
        <v>425</v>
      </c>
      <c r="AF13" s="3"/>
      <c r="AG13" s="3"/>
      <c r="AH13" s="3"/>
      <c r="AI13" s="3"/>
      <c r="AJ13" s="3"/>
      <c r="AK13" s="31"/>
    </row>
    <row r="14" spans="1:37" ht="70.5" customHeight="1" x14ac:dyDescent="0.25">
      <c r="A14" s="71" t="s">
        <v>1009</v>
      </c>
      <c r="B14" s="28" t="s">
        <v>360</v>
      </c>
      <c r="C14" s="5" t="s">
        <v>1363</v>
      </c>
      <c r="D14" s="4" t="s">
        <v>748</v>
      </c>
      <c r="E14" s="4" t="s">
        <v>113</v>
      </c>
      <c r="F14" s="4" t="s">
        <v>7</v>
      </c>
      <c r="G14" s="27" t="s">
        <v>6</v>
      </c>
      <c r="H14" s="35">
        <v>0</v>
      </c>
      <c r="I14" s="35">
        <f>5.4*4.7-0.7*0.7*2</f>
        <v>24.400000000000002</v>
      </c>
      <c r="J14" s="35">
        <v>0</v>
      </c>
      <c r="K14" s="7">
        <v>2</v>
      </c>
      <c r="L14" s="8">
        <v>1.5</v>
      </c>
      <c r="M14" s="4" t="s">
        <v>494</v>
      </c>
      <c r="N14" s="4" t="s">
        <v>494</v>
      </c>
      <c r="O14" s="4" t="s">
        <v>494</v>
      </c>
      <c r="P14" s="27" t="s">
        <v>9</v>
      </c>
      <c r="Q14" s="72">
        <v>0</v>
      </c>
      <c r="R14" s="27" t="s">
        <v>141</v>
      </c>
      <c r="S14" s="7">
        <f t="shared" si="0"/>
        <v>2</v>
      </c>
      <c r="T14" s="7">
        <v>2</v>
      </c>
      <c r="U14" s="4" t="s">
        <v>150</v>
      </c>
      <c r="V14" s="7">
        <v>0</v>
      </c>
      <c r="W14" s="27" t="s">
        <v>141</v>
      </c>
      <c r="X14" s="73">
        <v>54</v>
      </c>
      <c r="Y14" s="5" t="s">
        <v>1687</v>
      </c>
      <c r="AF14" s="3"/>
      <c r="AG14" s="3"/>
      <c r="AH14" s="3"/>
      <c r="AI14" s="3"/>
      <c r="AJ14" s="3"/>
      <c r="AK14" s="31"/>
    </row>
    <row r="15" spans="1:37" ht="110.25" x14ac:dyDescent="0.25">
      <c r="A15" s="71" t="s">
        <v>1010</v>
      </c>
      <c r="B15" s="28" t="s">
        <v>360</v>
      </c>
      <c r="C15" s="5" t="s">
        <v>1363</v>
      </c>
      <c r="D15" s="4" t="s">
        <v>8</v>
      </c>
      <c r="E15" s="4" t="s">
        <v>119</v>
      </c>
      <c r="F15" s="4" t="s">
        <v>264</v>
      </c>
      <c r="G15" s="27" t="s">
        <v>6</v>
      </c>
      <c r="H15" s="35">
        <v>5.25</v>
      </c>
      <c r="I15" s="35">
        <f>8*5-H15</f>
        <v>34.75</v>
      </c>
      <c r="J15" s="35">
        <v>0</v>
      </c>
      <c r="K15" s="7">
        <v>3</v>
      </c>
      <c r="L15" s="8">
        <v>2.25</v>
      </c>
      <c r="M15" s="6" t="s">
        <v>494</v>
      </c>
      <c r="N15" s="6" t="s">
        <v>494</v>
      </c>
      <c r="O15" s="4" t="s">
        <v>494</v>
      </c>
      <c r="P15" s="27" t="s">
        <v>10</v>
      </c>
      <c r="Q15" s="72">
        <v>0</v>
      </c>
      <c r="R15" s="27" t="s">
        <v>141</v>
      </c>
      <c r="S15" s="7">
        <f t="shared" si="0"/>
        <v>2</v>
      </c>
      <c r="T15" s="7">
        <v>2</v>
      </c>
      <c r="U15" s="4" t="s">
        <v>151</v>
      </c>
      <c r="V15" s="7">
        <v>0</v>
      </c>
      <c r="W15" s="27" t="s">
        <v>141</v>
      </c>
      <c r="X15" s="73">
        <v>81</v>
      </c>
      <c r="Y15" s="5" t="s">
        <v>714</v>
      </c>
      <c r="AF15" s="3"/>
      <c r="AG15" s="3"/>
      <c r="AH15" s="3"/>
      <c r="AI15" s="3"/>
      <c r="AJ15" s="3"/>
      <c r="AK15" s="31"/>
    </row>
    <row r="16" spans="1:37" ht="110.25" x14ac:dyDescent="0.25">
      <c r="A16" s="71" t="s">
        <v>1011</v>
      </c>
      <c r="B16" s="28" t="s">
        <v>360</v>
      </c>
      <c r="C16" s="5" t="s">
        <v>1363</v>
      </c>
      <c r="D16" s="4" t="s">
        <v>749</v>
      </c>
      <c r="E16" s="4" t="s">
        <v>127</v>
      </c>
      <c r="F16" s="4" t="s">
        <v>222</v>
      </c>
      <c r="G16" s="27" t="s">
        <v>109</v>
      </c>
      <c r="H16" s="35">
        <f>6*4</f>
        <v>24</v>
      </c>
      <c r="I16" s="35">
        <f>10*8-H16</f>
        <v>56</v>
      </c>
      <c r="J16" s="35">
        <v>0</v>
      </c>
      <c r="K16" s="7">
        <v>1</v>
      </c>
      <c r="L16" s="8">
        <v>8</v>
      </c>
      <c r="M16" s="6" t="s">
        <v>494</v>
      </c>
      <c r="N16" s="6" t="s">
        <v>494</v>
      </c>
      <c r="O16" s="4" t="s">
        <v>273</v>
      </c>
      <c r="P16" s="27" t="s">
        <v>1977</v>
      </c>
      <c r="Q16" s="72">
        <v>0</v>
      </c>
      <c r="R16" s="27" t="s">
        <v>141</v>
      </c>
      <c r="S16" s="7">
        <f t="shared" si="0"/>
        <v>9</v>
      </c>
      <c r="T16" s="7">
        <v>9</v>
      </c>
      <c r="U16" s="4" t="s">
        <v>152</v>
      </c>
      <c r="V16" s="7">
        <v>0</v>
      </c>
      <c r="W16" s="27" t="s">
        <v>141</v>
      </c>
      <c r="X16" s="73">
        <v>432</v>
      </c>
      <c r="Y16" s="5" t="s">
        <v>714</v>
      </c>
      <c r="AF16" s="3"/>
      <c r="AG16" s="3"/>
      <c r="AH16" s="3"/>
      <c r="AI16" s="3"/>
      <c r="AJ16" s="3"/>
      <c r="AK16" s="31"/>
    </row>
    <row r="17" spans="1:37" ht="110.25" x14ac:dyDescent="0.25">
      <c r="A17" s="71" t="s">
        <v>1012</v>
      </c>
      <c r="B17" s="28" t="s">
        <v>360</v>
      </c>
      <c r="C17" s="5" t="s">
        <v>1363</v>
      </c>
      <c r="D17" s="4" t="s">
        <v>21</v>
      </c>
      <c r="E17" s="4" t="s">
        <v>669</v>
      </c>
      <c r="F17" s="4" t="s">
        <v>652</v>
      </c>
      <c r="G17" s="27" t="s">
        <v>22</v>
      </c>
      <c r="H17" s="35">
        <f>6*4</f>
        <v>24</v>
      </c>
      <c r="I17" s="35">
        <f>10*8-H17</f>
        <v>56</v>
      </c>
      <c r="J17" s="35">
        <f>(4+6+4)*2*2</f>
        <v>56</v>
      </c>
      <c r="K17" s="7">
        <v>1</v>
      </c>
      <c r="L17" s="8">
        <v>8</v>
      </c>
      <c r="M17" s="6" t="s">
        <v>494</v>
      </c>
      <c r="N17" s="6" t="s">
        <v>494</v>
      </c>
      <c r="O17" s="4" t="s">
        <v>494</v>
      </c>
      <c r="P17" s="27" t="s">
        <v>23</v>
      </c>
      <c r="Q17" s="72">
        <v>0</v>
      </c>
      <c r="R17" s="27" t="s">
        <v>141</v>
      </c>
      <c r="S17" s="7">
        <f t="shared" si="0"/>
        <v>17</v>
      </c>
      <c r="T17" s="7">
        <v>3</v>
      </c>
      <c r="U17" s="4" t="s">
        <v>149</v>
      </c>
      <c r="V17" s="7">
        <v>14</v>
      </c>
      <c r="W17" s="4" t="s">
        <v>161</v>
      </c>
      <c r="X17" s="73">
        <v>636</v>
      </c>
      <c r="Y17" s="5" t="s">
        <v>1687</v>
      </c>
      <c r="Z17" s="45" t="s">
        <v>423</v>
      </c>
      <c r="AF17" s="3"/>
      <c r="AG17" s="3"/>
      <c r="AH17" s="3"/>
      <c r="AI17" s="3"/>
      <c r="AJ17" s="3"/>
      <c r="AK17" s="31"/>
    </row>
    <row r="18" spans="1:37" ht="67.5" customHeight="1" x14ac:dyDescent="0.25">
      <c r="A18" s="71" t="s">
        <v>1013</v>
      </c>
      <c r="B18" s="28" t="s">
        <v>360</v>
      </c>
      <c r="C18" s="5" t="s">
        <v>1718</v>
      </c>
      <c r="D18" s="4" t="s">
        <v>214</v>
      </c>
      <c r="E18" s="4" t="s">
        <v>119</v>
      </c>
      <c r="F18" s="27" t="s">
        <v>141</v>
      </c>
      <c r="G18" s="27" t="s">
        <v>141</v>
      </c>
      <c r="H18" s="27" t="s">
        <v>141</v>
      </c>
      <c r="I18" s="27" t="s">
        <v>141</v>
      </c>
      <c r="J18" s="27" t="s">
        <v>141</v>
      </c>
      <c r="K18" s="27" t="s">
        <v>141</v>
      </c>
      <c r="L18" s="27" t="s">
        <v>141</v>
      </c>
      <c r="M18" s="27" t="s">
        <v>141</v>
      </c>
      <c r="N18" s="27" t="s">
        <v>141</v>
      </c>
      <c r="O18" s="27" t="s">
        <v>141</v>
      </c>
      <c r="P18" s="27" t="s">
        <v>141</v>
      </c>
      <c r="Q18" s="27" t="s">
        <v>141</v>
      </c>
      <c r="R18" s="27" t="s">
        <v>141</v>
      </c>
      <c r="S18" s="27" t="s">
        <v>141</v>
      </c>
      <c r="T18" s="27" t="s">
        <v>141</v>
      </c>
      <c r="U18" s="27" t="s">
        <v>141</v>
      </c>
      <c r="V18" s="27" t="s">
        <v>141</v>
      </c>
      <c r="W18" s="27" t="s">
        <v>141</v>
      </c>
      <c r="X18" s="73"/>
      <c r="Y18" s="5"/>
      <c r="AF18" s="3"/>
      <c r="AG18" s="3"/>
      <c r="AH18" s="3"/>
      <c r="AI18" s="3"/>
      <c r="AJ18" s="3"/>
      <c r="AK18" s="31"/>
    </row>
    <row r="19" spans="1:37" ht="57" customHeight="1" x14ac:dyDescent="0.25">
      <c r="A19" s="71" t="s">
        <v>1014</v>
      </c>
      <c r="B19" s="28" t="s">
        <v>360</v>
      </c>
      <c r="C19" s="5" t="s">
        <v>1363</v>
      </c>
      <c r="D19" s="4" t="s">
        <v>686</v>
      </c>
      <c r="E19" s="4" t="s">
        <v>119</v>
      </c>
      <c r="F19" s="4" t="s">
        <v>658</v>
      </c>
      <c r="G19" s="27" t="s">
        <v>6</v>
      </c>
      <c r="H19" s="35">
        <f>6*2</f>
        <v>12</v>
      </c>
      <c r="I19" s="35">
        <f>10*6-H19</f>
        <v>48</v>
      </c>
      <c r="J19" s="35">
        <f>6*2*1.6*2</f>
        <v>38.400000000000006</v>
      </c>
      <c r="K19" s="7">
        <v>3</v>
      </c>
      <c r="L19" s="8">
        <v>3.3</v>
      </c>
      <c r="M19" s="6" t="s">
        <v>494</v>
      </c>
      <c r="N19" s="6" t="s">
        <v>494</v>
      </c>
      <c r="O19" s="4" t="s">
        <v>1974</v>
      </c>
      <c r="P19" s="27" t="s">
        <v>6</v>
      </c>
      <c r="Q19" s="72">
        <v>0</v>
      </c>
      <c r="R19" s="27" t="s">
        <v>141</v>
      </c>
      <c r="S19" s="7">
        <f t="shared" si="0"/>
        <v>33</v>
      </c>
      <c r="T19" s="7">
        <v>3</v>
      </c>
      <c r="U19" s="4" t="s">
        <v>147</v>
      </c>
      <c r="V19" s="7">
        <v>30</v>
      </c>
      <c r="W19" s="4" t="s">
        <v>198</v>
      </c>
      <c r="X19" s="73">
        <v>72</v>
      </c>
      <c r="Y19" s="5" t="s">
        <v>714</v>
      </c>
      <c r="Z19" s="45" t="s">
        <v>425</v>
      </c>
      <c r="AF19" s="3"/>
      <c r="AG19" s="3"/>
      <c r="AH19" s="3"/>
      <c r="AI19" s="3"/>
      <c r="AJ19" s="3"/>
      <c r="AK19" s="31"/>
    </row>
    <row r="20" spans="1:37" ht="64.5" customHeight="1" x14ac:dyDescent="0.25">
      <c r="A20" s="71" t="s">
        <v>1015</v>
      </c>
      <c r="B20" s="28" t="s">
        <v>360</v>
      </c>
      <c r="C20" s="5" t="s">
        <v>1363</v>
      </c>
      <c r="D20" s="4" t="s">
        <v>740</v>
      </c>
      <c r="E20" s="4" t="s">
        <v>126</v>
      </c>
      <c r="F20" s="4" t="s">
        <v>221</v>
      </c>
      <c r="G20" s="27" t="s">
        <v>13</v>
      </c>
      <c r="H20" s="35">
        <f>1*2</f>
        <v>2</v>
      </c>
      <c r="I20" s="35"/>
      <c r="J20" s="35">
        <v>0</v>
      </c>
      <c r="K20" s="7">
        <v>1</v>
      </c>
      <c r="L20" s="8">
        <v>8</v>
      </c>
      <c r="M20" s="6" t="s">
        <v>494</v>
      </c>
      <c r="N20" s="6" t="s">
        <v>494</v>
      </c>
      <c r="O20" s="4" t="s">
        <v>273</v>
      </c>
      <c r="P20" s="27" t="s">
        <v>6</v>
      </c>
      <c r="Q20" s="72">
        <v>0</v>
      </c>
      <c r="R20" s="27" t="s">
        <v>141</v>
      </c>
      <c r="S20" s="7">
        <f t="shared" si="0"/>
        <v>8</v>
      </c>
      <c r="T20" s="7">
        <v>8</v>
      </c>
      <c r="U20" s="4" t="s">
        <v>1416</v>
      </c>
      <c r="V20" s="7">
        <v>0</v>
      </c>
      <c r="W20" s="27" t="s">
        <v>141</v>
      </c>
      <c r="X20" s="73">
        <v>621</v>
      </c>
      <c r="Y20" s="5" t="s">
        <v>714</v>
      </c>
      <c r="AF20" s="3"/>
      <c r="AG20" s="3"/>
      <c r="AH20" s="3"/>
      <c r="AI20" s="3"/>
      <c r="AJ20" s="3"/>
      <c r="AK20" s="31"/>
    </row>
    <row r="21" spans="1:37" ht="84" customHeight="1" x14ac:dyDescent="0.25">
      <c r="A21" s="71" t="s">
        <v>1016</v>
      </c>
      <c r="B21" s="28" t="s">
        <v>360</v>
      </c>
      <c r="C21" s="5" t="s">
        <v>1363</v>
      </c>
      <c r="D21" s="4" t="s">
        <v>215</v>
      </c>
      <c r="E21" s="4" t="s">
        <v>280</v>
      </c>
      <c r="F21" s="4" t="s">
        <v>222</v>
      </c>
      <c r="G21" s="27" t="s">
        <v>12</v>
      </c>
      <c r="H21" s="35">
        <f>6*4</f>
        <v>24</v>
      </c>
      <c r="I21" s="35">
        <f>10*8-H21</f>
        <v>56</v>
      </c>
      <c r="J21" s="35">
        <v>0</v>
      </c>
      <c r="K21" s="7">
        <v>1</v>
      </c>
      <c r="L21" s="8">
        <v>8</v>
      </c>
      <c r="M21" s="6" t="s">
        <v>494</v>
      </c>
      <c r="N21" s="6" t="s">
        <v>494</v>
      </c>
      <c r="O21" s="4" t="s">
        <v>494</v>
      </c>
      <c r="P21" s="27" t="s">
        <v>105</v>
      </c>
      <c r="Q21" s="72">
        <v>0</v>
      </c>
      <c r="R21" s="27" t="s">
        <v>141</v>
      </c>
      <c r="S21" s="7">
        <f t="shared" si="0"/>
        <v>7</v>
      </c>
      <c r="T21" s="7">
        <v>7</v>
      </c>
      <c r="U21" s="4" t="s">
        <v>153</v>
      </c>
      <c r="V21" s="7">
        <v>0</v>
      </c>
      <c r="W21" s="27" t="s">
        <v>141</v>
      </c>
      <c r="X21" s="73">
        <v>434</v>
      </c>
      <c r="Y21" s="5" t="s">
        <v>1687</v>
      </c>
      <c r="AF21" s="3"/>
      <c r="AG21" s="3"/>
      <c r="AH21" s="3"/>
      <c r="AI21" s="3"/>
      <c r="AJ21" s="3"/>
      <c r="AK21" s="31"/>
    </row>
    <row r="22" spans="1:37" ht="84" customHeight="1" x14ac:dyDescent="0.25">
      <c r="A22" s="71" t="s">
        <v>1017</v>
      </c>
      <c r="B22" s="28" t="s">
        <v>360</v>
      </c>
      <c r="C22" s="5" t="s">
        <v>1363</v>
      </c>
      <c r="D22" s="74" t="s">
        <v>216</v>
      </c>
      <c r="E22" s="4" t="s">
        <v>119</v>
      </c>
      <c r="F22" s="4" t="s">
        <v>1560</v>
      </c>
      <c r="G22" s="75" t="s">
        <v>14</v>
      </c>
      <c r="H22" s="35">
        <f>8*4</f>
        <v>32</v>
      </c>
      <c r="I22" s="35">
        <f>12*8-H22</f>
        <v>64</v>
      </c>
      <c r="J22" s="35">
        <f>(2+8+2+4+2)*2*2</f>
        <v>72</v>
      </c>
      <c r="K22" s="7">
        <v>1</v>
      </c>
      <c r="L22" s="8">
        <v>8</v>
      </c>
      <c r="M22" s="6" t="s">
        <v>494</v>
      </c>
      <c r="N22" s="6" t="s">
        <v>494</v>
      </c>
      <c r="O22" s="4" t="s">
        <v>494</v>
      </c>
      <c r="P22" s="76" t="s">
        <v>15</v>
      </c>
      <c r="Q22" s="72">
        <v>0</v>
      </c>
      <c r="R22" s="27" t="s">
        <v>141</v>
      </c>
      <c r="S22" s="77">
        <f t="shared" si="0"/>
        <v>10</v>
      </c>
      <c r="T22" s="77">
        <v>10</v>
      </c>
      <c r="U22" s="74" t="s">
        <v>1809</v>
      </c>
      <c r="V22" s="77">
        <v>0</v>
      </c>
      <c r="W22" s="6" t="s">
        <v>141</v>
      </c>
      <c r="X22" s="78">
        <v>553</v>
      </c>
      <c r="Y22" s="5" t="s">
        <v>1687</v>
      </c>
      <c r="Z22" s="45" t="s">
        <v>425</v>
      </c>
      <c r="AF22" s="3"/>
      <c r="AG22" s="3"/>
      <c r="AH22" s="3"/>
      <c r="AI22" s="3"/>
      <c r="AJ22" s="3"/>
      <c r="AK22" s="31"/>
    </row>
    <row r="23" spans="1:37" ht="67.5" customHeight="1" x14ac:dyDescent="0.25">
      <c r="A23" s="71" t="s">
        <v>1018</v>
      </c>
      <c r="B23" s="28" t="s">
        <v>360</v>
      </c>
      <c r="C23" s="5" t="s">
        <v>1718</v>
      </c>
      <c r="D23" s="4" t="s">
        <v>750</v>
      </c>
      <c r="E23" s="4" t="s">
        <v>119</v>
      </c>
      <c r="F23" s="27" t="s">
        <v>141</v>
      </c>
      <c r="G23" s="27" t="s">
        <v>141</v>
      </c>
      <c r="H23" s="27" t="s">
        <v>141</v>
      </c>
      <c r="I23" s="27" t="s">
        <v>141</v>
      </c>
      <c r="J23" s="27" t="s">
        <v>141</v>
      </c>
      <c r="K23" s="27" t="s">
        <v>141</v>
      </c>
      <c r="L23" s="27" t="s">
        <v>141</v>
      </c>
      <c r="M23" s="27" t="s">
        <v>141</v>
      </c>
      <c r="N23" s="27" t="s">
        <v>141</v>
      </c>
      <c r="O23" s="27" t="s">
        <v>141</v>
      </c>
      <c r="P23" s="27" t="s">
        <v>141</v>
      </c>
      <c r="Q23" s="27" t="s">
        <v>141</v>
      </c>
      <c r="R23" s="27" t="s">
        <v>141</v>
      </c>
      <c r="S23" s="27" t="s">
        <v>141</v>
      </c>
      <c r="T23" s="27" t="s">
        <v>141</v>
      </c>
      <c r="U23" s="27" t="s">
        <v>141</v>
      </c>
      <c r="V23" s="27" t="s">
        <v>141</v>
      </c>
      <c r="W23" s="27" t="s">
        <v>141</v>
      </c>
      <c r="X23" s="73"/>
      <c r="Y23" s="5"/>
      <c r="Z23" s="27" t="s">
        <v>141</v>
      </c>
      <c r="AF23" s="3"/>
      <c r="AG23" s="3"/>
      <c r="AH23" s="3"/>
      <c r="AI23" s="3"/>
      <c r="AJ23" s="3"/>
      <c r="AK23" s="31"/>
    </row>
    <row r="24" spans="1:37" ht="55.5" customHeight="1" x14ac:dyDescent="0.25">
      <c r="A24" s="71" t="s">
        <v>1019</v>
      </c>
      <c r="B24" s="28" t="s">
        <v>360</v>
      </c>
      <c r="C24" s="5" t="s">
        <v>1363</v>
      </c>
      <c r="D24" s="4" t="s">
        <v>417</v>
      </c>
      <c r="E24" s="4" t="s">
        <v>129</v>
      </c>
      <c r="F24" s="4" t="s">
        <v>223</v>
      </c>
      <c r="G24" s="27" t="s">
        <v>16</v>
      </c>
      <c r="H24" s="35">
        <f>6*4</f>
        <v>24</v>
      </c>
      <c r="I24" s="35">
        <f>10*8-H24</f>
        <v>56</v>
      </c>
      <c r="J24" s="35">
        <v>0</v>
      </c>
      <c r="K24" s="7">
        <v>1</v>
      </c>
      <c r="L24" s="8">
        <v>8</v>
      </c>
      <c r="M24" s="6" t="s">
        <v>494</v>
      </c>
      <c r="N24" s="6" t="s">
        <v>494</v>
      </c>
      <c r="O24" s="4" t="s">
        <v>494</v>
      </c>
      <c r="P24" s="27" t="s">
        <v>17</v>
      </c>
      <c r="Q24" s="72">
        <v>0</v>
      </c>
      <c r="R24" s="27" t="s">
        <v>141</v>
      </c>
      <c r="S24" s="7">
        <f t="shared" si="0"/>
        <v>6</v>
      </c>
      <c r="T24" s="7">
        <v>6</v>
      </c>
      <c r="U24" s="4" t="s">
        <v>1417</v>
      </c>
      <c r="V24" s="7">
        <v>0</v>
      </c>
      <c r="W24" s="27" t="s">
        <v>141</v>
      </c>
      <c r="X24" s="73">
        <v>194</v>
      </c>
      <c r="Y24" s="5" t="s">
        <v>714</v>
      </c>
      <c r="AF24" s="3"/>
      <c r="AG24" s="3"/>
      <c r="AH24" s="3"/>
      <c r="AI24" s="3"/>
      <c r="AJ24" s="3"/>
      <c r="AK24" s="31"/>
    </row>
    <row r="25" spans="1:37" ht="58.5" customHeight="1" x14ac:dyDescent="0.25">
      <c r="A25" s="71" t="s">
        <v>1020</v>
      </c>
      <c r="B25" s="28" t="s">
        <v>360</v>
      </c>
      <c r="C25" s="5" t="s">
        <v>1363</v>
      </c>
      <c r="D25" s="4" t="s">
        <v>18</v>
      </c>
      <c r="E25" s="4" t="s">
        <v>670</v>
      </c>
      <c r="F25" s="4" t="s">
        <v>660</v>
      </c>
      <c r="G25" s="27" t="s">
        <v>19</v>
      </c>
      <c r="H25" s="35">
        <f>7.5*2</f>
        <v>15</v>
      </c>
      <c r="I25" s="35">
        <f>11.5*6-H25</f>
        <v>54</v>
      </c>
      <c r="J25" s="35">
        <f>(2+7.5+2+2)*1.6*2</f>
        <v>43.2</v>
      </c>
      <c r="K25" s="7">
        <v>4</v>
      </c>
      <c r="L25" s="8">
        <v>4.4000000000000004</v>
      </c>
      <c r="M25" s="6" t="s">
        <v>494</v>
      </c>
      <c r="N25" s="6" t="s">
        <v>494</v>
      </c>
      <c r="O25" s="4" t="s">
        <v>273</v>
      </c>
      <c r="P25" s="27" t="s">
        <v>6</v>
      </c>
      <c r="Q25" s="72">
        <v>0</v>
      </c>
      <c r="R25" s="27" t="s">
        <v>141</v>
      </c>
      <c r="S25" s="7">
        <f t="shared" si="0"/>
        <v>8</v>
      </c>
      <c r="T25" s="7">
        <v>8</v>
      </c>
      <c r="U25" s="4" t="s">
        <v>154</v>
      </c>
      <c r="V25" s="7">
        <v>0</v>
      </c>
      <c r="W25" s="27" t="s">
        <v>141</v>
      </c>
      <c r="X25" s="73">
        <v>852</v>
      </c>
      <c r="Y25" s="5" t="s">
        <v>1687</v>
      </c>
      <c r="Z25" s="45" t="s">
        <v>423</v>
      </c>
      <c r="AF25" s="3"/>
      <c r="AG25" s="3"/>
      <c r="AH25" s="3"/>
      <c r="AI25" s="3"/>
      <c r="AJ25" s="3"/>
      <c r="AK25" s="31"/>
    </row>
    <row r="26" spans="1:37" ht="57" customHeight="1" x14ac:dyDescent="0.25">
      <c r="A26" s="71" t="s">
        <v>1021</v>
      </c>
      <c r="B26" s="28" t="s">
        <v>360</v>
      </c>
      <c r="C26" s="5" t="s">
        <v>1363</v>
      </c>
      <c r="D26" s="4" t="s">
        <v>751</v>
      </c>
      <c r="E26" s="4" t="s">
        <v>670</v>
      </c>
      <c r="F26" s="4" t="s">
        <v>652</v>
      </c>
      <c r="G26" s="27" t="s">
        <v>20</v>
      </c>
      <c r="H26" s="35">
        <f>6*4</f>
        <v>24</v>
      </c>
      <c r="I26" s="35">
        <f>10*8-H26</f>
        <v>56</v>
      </c>
      <c r="J26" s="35">
        <f>(4+6+4)*2*2</f>
        <v>56</v>
      </c>
      <c r="K26" s="7">
        <v>1</v>
      </c>
      <c r="L26" s="8">
        <v>8</v>
      </c>
      <c r="M26" s="6" t="s">
        <v>494</v>
      </c>
      <c r="N26" s="6" t="s">
        <v>494</v>
      </c>
      <c r="O26" s="4" t="s">
        <v>273</v>
      </c>
      <c r="P26" s="27" t="s">
        <v>6</v>
      </c>
      <c r="Q26" s="72">
        <v>0</v>
      </c>
      <c r="R26" s="27" t="s">
        <v>141</v>
      </c>
      <c r="S26" s="7">
        <f t="shared" si="0"/>
        <v>6</v>
      </c>
      <c r="T26" s="7">
        <v>6</v>
      </c>
      <c r="U26" s="4" t="s">
        <v>155</v>
      </c>
      <c r="V26" s="7">
        <v>0</v>
      </c>
      <c r="W26" s="27" t="s">
        <v>141</v>
      </c>
      <c r="X26" s="73">
        <v>424</v>
      </c>
      <c r="Y26" s="5" t="s">
        <v>1687</v>
      </c>
      <c r="Z26" s="45" t="s">
        <v>423</v>
      </c>
      <c r="AF26" s="3"/>
      <c r="AG26" s="3"/>
      <c r="AH26" s="3"/>
      <c r="AI26" s="3"/>
      <c r="AJ26" s="3"/>
      <c r="AK26" s="31"/>
    </row>
    <row r="27" spans="1:37" ht="108" customHeight="1" x14ac:dyDescent="0.25">
      <c r="A27" s="71" t="s">
        <v>1022</v>
      </c>
      <c r="B27" s="28" t="s">
        <v>360</v>
      </c>
      <c r="C27" s="5" t="s">
        <v>1363</v>
      </c>
      <c r="D27" s="4" t="s">
        <v>752</v>
      </c>
      <c r="E27" s="4" t="s">
        <v>128</v>
      </c>
      <c r="F27" s="4" t="s">
        <v>661</v>
      </c>
      <c r="G27" s="27" t="s">
        <v>6</v>
      </c>
      <c r="H27" s="35">
        <f>6*2</f>
        <v>12</v>
      </c>
      <c r="I27" s="35">
        <f>10*6-H27</f>
        <v>48</v>
      </c>
      <c r="J27" s="35">
        <f>(2+6+2)*1.6*2</f>
        <v>32</v>
      </c>
      <c r="K27" s="7">
        <v>3</v>
      </c>
      <c r="L27" s="8">
        <v>3.3</v>
      </c>
      <c r="M27" s="6" t="s">
        <v>494</v>
      </c>
      <c r="N27" s="6" t="s">
        <v>494</v>
      </c>
      <c r="O27" s="4" t="s">
        <v>2187</v>
      </c>
      <c r="P27" s="27" t="s">
        <v>6</v>
      </c>
      <c r="Q27" s="72">
        <v>0</v>
      </c>
      <c r="R27" s="27" t="s">
        <v>141</v>
      </c>
      <c r="S27" s="7">
        <f t="shared" si="0"/>
        <v>3</v>
      </c>
      <c r="T27" s="7">
        <v>3</v>
      </c>
      <c r="U27" s="4" t="s">
        <v>156</v>
      </c>
      <c r="V27" s="7">
        <v>0</v>
      </c>
      <c r="W27" s="27" t="s">
        <v>141</v>
      </c>
      <c r="X27" s="73">
        <v>307</v>
      </c>
      <c r="Y27" s="5" t="s">
        <v>1687</v>
      </c>
      <c r="Z27" s="45" t="s">
        <v>425</v>
      </c>
      <c r="AF27" s="3"/>
      <c r="AG27" s="3"/>
      <c r="AH27" s="3"/>
      <c r="AI27" s="3"/>
      <c r="AJ27" s="3"/>
      <c r="AK27" s="31"/>
    </row>
    <row r="28" spans="1:37" ht="110.25" x14ac:dyDescent="0.4">
      <c r="A28" s="71" t="s">
        <v>1023</v>
      </c>
      <c r="B28" s="28" t="s">
        <v>360</v>
      </c>
      <c r="C28" s="5" t="s">
        <v>1363</v>
      </c>
      <c r="D28" s="4" t="s">
        <v>753</v>
      </c>
      <c r="E28" s="4" t="s">
        <v>668</v>
      </c>
      <c r="F28" s="4" t="s">
        <v>652</v>
      </c>
      <c r="G28" s="27" t="s">
        <v>5</v>
      </c>
      <c r="H28" s="35">
        <f>6*4</f>
        <v>24</v>
      </c>
      <c r="I28" s="35">
        <f>10*8-H28</f>
        <v>56</v>
      </c>
      <c r="J28" s="35">
        <f>(4+6+4)*2*2</f>
        <v>56</v>
      </c>
      <c r="K28" s="7">
        <v>1</v>
      </c>
      <c r="L28" s="8">
        <v>8</v>
      </c>
      <c r="M28" s="6" t="s">
        <v>494</v>
      </c>
      <c r="N28" s="6" t="s">
        <v>494</v>
      </c>
      <c r="O28" s="4" t="s">
        <v>1974</v>
      </c>
      <c r="P28" s="27" t="s">
        <v>2188</v>
      </c>
      <c r="Q28" s="72">
        <v>0</v>
      </c>
      <c r="R28" s="27" t="s">
        <v>141</v>
      </c>
      <c r="S28" s="7">
        <f t="shared" si="0"/>
        <v>29</v>
      </c>
      <c r="T28" s="7">
        <v>4</v>
      </c>
      <c r="U28" s="4" t="s">
        <v>148</v>
      </c>
      <c r="V28" s="7">
        <v>25</v>
      </c>
      <c r="W28" s="4" t="s">
        <v>157</v>
      </c>
      <c r="X28" s="73">
        <v>64</v>
      </c>
      <c r="Y28" s="5" t="s">
        <v>1687</v>
      </c>
      <c r="Z28" s="45" t="s">
        <v>423</v>
      </c>
      <c r="AA28" s="79" t="s">
        <v>399</v>
      </c>
      <c r="AF28" s="3"/>
      <c r="AG28" s="3"/>
      <c r="AH28" s="3"/>
      <c r="AI28" s="3"/>
      <c r="AJ28" s="3"/>
      <c r="AK28" s="31"/>
    </row>
    <row r="29" spans="1:37" ht="65.25" customHeight="1" x14ac:dyDescent="0.4">
      <c r="A29" s="71" t="s">
        <v>1024</v>
      </c>
      <c r="B29" s="28" t="s">
        <v>360</v>
      </c>
      <c r="C29" s="5" t="s">
        <v>1363</v>
      </c>
      <c r="D29" s="4" t="s">
        <v>2134</v>
      </c>
      <c r="E29" s="4" t="s">
        <v>2126</v>
      </c>
      <c r="F29" s="4" t="s">
        <v>7</v>
      </c>
      <c r="G29" s="27" t="s">
        <v>2127</v>
      </c>
      <c r="H29" s="35"/>
      <c r="I29" s="35"/>
      <c r="J29" s="35"/>
      <c r="K29" s="7">
        <v>3</v>
      </c>
      <c r="L29" s="8">
        <v>2.25</v>
      </c>
      <c r="M29" s="6" t="s">
        <v>2129</v>
      </c>
      <c r="N29" s="6" t="s">
        <v>2129</v>
      </c>
      <c r="O29" s="4" t="s">
        <v>494</v>
      </c>
      <c r="P29" s="27" t="s">
        <v>6</v>
      </c>
      <c r="Q29" s="72">
        <v>0</v>
      </c>
      <c r="R29" s="27" t="s">
        <v>141</v>
      </c>
      <c r="S29" s="7">
        <f t="shared" si="0"/>
        <v>1</v>
      </c>
      <c r="T29" s="7">
        <v>1</v>
      </c>
      <c r="U29" s="4" t="s">
        <v>2128</v>
      </c>
      <c r="V29" s="7">
        <v>0</v>
      </c>
      <c r="W29" s="27" t="s">
        <v>141</v>
      </c>
      <c r="X29" s="73">
        <v>46</v>
      </c>
      <c r="Y29" s="5" t="s">
        <v>2129</v>
      </c>
      <c r="AA29" s="79" t="s">
        <v>398</v>
      </c>
      <c r="AF29" s="3"/>
      <c r="AG29" s="3"/>
      <c r="AH29" s="3"/>
      <c r="AI29" s="3"/>
      <c r="AJ29" s="3"/>
      <c r="AK29" s="31"/>
    </row>
    <row r="30" spans="1:37" ht="85.5" customHeight="1" x14ac:dyDescent="0.25">
      <c r="A30" s="71" t="s">
        <v>1025</v>
      </c>
      <c r="B30" s="28" t="s">
        <v>360</v>
      </c>
      <c r="C30" s="5" t="s">
        <v>1363</v>
      </c>
      <c r="D30" s="4" t="s">
        <v>754</v>
      </c>
      <c r="E30" s="4" t="s">
        <v>119</v>
      </c>
      <c r="F30" s="4" t="s">
        <v>253</v>
      </c>
      <c r="G30" s="27" t="s">
        <v>6</v>
      </c>
      <c r="H30" s="35">
        <f t="shared" ref="H30:H37" si="2">6*4</f>
        <v>24</v>
      </c>
      <c r="I30" s="35">
        <f t="shared" ref="I30:I33" si="3">10*8-H30</f>
        <v>56</v>
      </c>
      <c r="J30" s="35">
        <f t="shared" ref="J30:J37" si="4">(4+6+4)*2*2</f>
        <v>56</v>
      </c>
      <c r="K30" s="7">
        <v>1</v>
      </c>
      <c r="L30" s="8">
        <v>8</v>
      </c>
      <c r="M30" s="6" t="s">
        <v>494</v>
      </c>
      <c r="N30" s="6" t="s">
        <v>494</v>
      </c>
      <c r="O30" s="4" t="s">
        <v>267</v>
      </c>
      <c r="P30" s="27" t="s">
        <v>33</v>
      </c>
      <c r="Q30" s="72">
        <v>0</v>
      </c>
      <c r="R30" s="27" t="s">
        <v>141</v>
      </c>
      <c r="S30" s="7">
        <f t="shared" si="0"/>
        <v>6</v>
      </c>
      <c r="T30" s="7">
        <v>6</v>
      </c>
      <c r="U30" s="4" t="s">
        <v>1418</v>
      </c>
      <c r="V30" s="7">
        <v>0</v>
      </c>
      <c r="W30" s="27" t="s">
        <v>141</v>
      </c>
      <c r="X30" s="73">
        <v>691</v>
      </c>
      <c r="Y30" s="5" t="s">
        <v>268</v>
      </c>
      <c r="Z30" s="45" t="s">
        <v>425</v>
      </c>
      <c r="AF30" s="3"/>
      <c r="AG30" s="3"/>
      <c r="AH30" s="3"/>
      <c r="AI30" s="3"/>
      <c r="AJ30" s="3"/>
      <c r="AK30" s="31"/>
    </row>
    <row r="31" spans="1:37" ht="58.5" customHeight="1" x14ac:dyDescent="0.25">
      <c r="A31" s="71" t="s">
        <v>1026</v>
      </c>
      <c r="B31" s="28" t="s">
        <v>360</v>
      </c>
      <c r="C31" s="5" t="s">
        <v>1363</v>
      </c>
      <c r="D31" s="4" t="s">
        <v>28</v>
      </c>
      <c r="E31" s="4" t="s">
        <v>119</v>
      </c>
      <c r="F31" s="4" t="s">
        <v>652</v>
      </c>
      <c r="G31" s="27" t="s">
        <v>29</v>
      </c>
      <c r="H31" s="35">
        <f t="shared" si="2"/>
        <v>24</v>
      </c>
      <c r="I31" s="35">
        <f t="shared" si="3"/>
        <v>56</v>
      </c>
      <c r="J31" s="35">
        <f t="shared" si="4"/>
        <v>56</v>
      </c>
      <c r="K31" s="7">
        <v>1</v>
      </c>
      <c r="L31" s="8">
        <v>8</v>
      </c>
      <c r="M31" s="6" t="s">
        <v>494</v>
      </c>
      <c r="N31" s="6" t="s">
        <v>494</v>
      </c>
      <c r="O31" s="4" t="s">
        <v>494</v>
      </c>
      <c r="P31" s="27" t="s">
        <v>108</v>
      </c>
      <c r="Q31" s="72">
        <v>0</v>
      </c>
      <c r="R31" s="27" t="s">
        <v>141</v>
      </c>
      <c r="S31" s="7">
        <f t="shared" si="0"/>
        <v>4</v>
      </c>
      <c r="T31" s="7">
        <v>4</v>
      </c>
      <c r="U31" s="4" t="s">
        <v>1423</v>
      </c>
      <c r="V31" s="7">
        <v>0</v>
      </c>
      <c r="W31" s="4" t="s">
        <v>141</v>
      </c>
      <c r="X31" s="73">
        <v>551</v>
      </c>
      <c r="Y31" s="5" t="s">
        <v>1687</v>
      </c>
      <c r="Z31" s="45" t="s">
        <v>423</v>
      </c>
      <c r="AF31" s="3"/>
      <c r="AG31" s="3"/>
      <c r="AH31" s="3"/>
      <c r="AI31" s="3"/>
      <c r="AJ31" s="3"/>
      <c r="AK31" s="31"/>
    </row>
    <row r="32" spans="1:37" ht="55.5" customHeight="1" x14ac:dyDescent="0.25">
      <c r="A32" s="71" t="s">
        <v>1027</v>
      </c>
      <c r="B32" s="28" t="s">
        <v>360</v>
      </c>
      <c r="C32" s="5" t="s">
        <v>1363</v>
      </c>
      <c r="D32" s="4" t="s">
        <v>281</v>
      </c>
      <c r="E32" s="4" t="s">
        <v>119</v>
      </c>
      <c r="F32" s="4" t="s">
        <v>652</v>
      </c>
      <c r="G32" s="27" t="s">
        <v>30</v>
      </c>
      <c r="H32" s="35">
        <f t="shared" si="2"/>
        <v>24</v>
      </c>
      <c r="I32" s="35">
        <f t="shared" si="3"/>
        <v>56</v>
      </c>
      <c r="J32" s="35">
        <f t="shared" si="4"/>
        <v>56</v>
      </c>
      <c r="K32" s="7">
        <v>2</v>
      </c>
      <c r="L32" s="8">
        <v>16</v>
      </c>
      <c r="M32" s="6" t="s">
        <v>494</v>
      </c>
      <c r="N32" s="6" t="s">
        <v>494</v>
      </c>
      <c r="O32" s="4" t="s">
        <v>494</v>
      </c>
      <c r="P32" s="27" t="s">
        <v>31</v>
      </c>
      <c r="Q32" s="72">
        <v>0</v>
      </c>
      <c r="R32" s="27" t="s">
        <v>141</v>
      </c>
      <c r="S32" s="7">
        <f t="shared" si="0"/>
        <v>12</v>
      </c>
      <c r="T32" s="7">
        <v>12</v>
      </c>
      <c r="U32" s="4" t="s">
        <v>164</v>
      </c>
      <c r="V32" s="7">
        <v>0</v>
      </c>
      <c r="W32" s="4" t="s">
        <v>141</v>
      </c>
      <c r="X32" s="73">
        <v>1614</v>
      </c>
      <c r="Y32" s="5" t="s">
        <v>1687</v>
      </c>
      <c r="Z32" s="45" t="s">
        <v>423</v>
      </c>
      <c r="AF32" s="3"/>
      <c r="AG32" s="3"/>
      <c r="AH32" s="3"/>
      <c r="AI32" s="3"/>
      <c r="AJ32" s="3"/>
      <c r="AK32" s="31"/>
    </row>
    <row r="33" spans="1:37" ht="58.5" customHeight="1" x14ac:dyDescent="0.25">
      <c r="A33" s="71" t="s">
        <v>1028</v>
      </c>
      <c r="B33" s="28" t="s">
        <v>360</v>
      </c>
      <c r="C33" s="5" t="s">
        <v>1363</v>
      </c>
      <c r="D33" s="4" t="s">
        <v>755</v>
      </c>
      <c r="E33" s="4" t="s">
        <v>119</v>
      </c>
      <c r="F33" s="4" t="s">
        <v>652</v>
      </c>
      <c r="G33" s="27" t="s">
        <v>32</v>
      </c>
      <c r="H33" s="35">
        <f t="shared" si="2"/>
        <v>24</v>
      </c>
      <c r="I33" s="35">
        <f t="shared" si="3"/>
        <v>56</v>
      </c>
      <c r="J33" s="35">
        <f t="shared" si="4"/>
        <v>56</v>
      </c>
      <c r="K33" s="7">
        <v>2</v>
      </c>
      <c r="L33" s="8">
        <v>16</v>
      </c>
      <c r="M33" s="6" t="s">
        <v>494</v>
      </c>
      <c r="N33" s="6" t="s">
        <v>494</v>
      </c>
      <c r="O33" s="4" t="s">
        <v>494</v>
      </c>
      <c r="P33" s="27" t="s">
        <v>2189</v>
      </c>
      <c r="Q33" s="72">
        <v>0</v>
      </c>
      <c r="R33" s="27" t="s">
        <v>141</v>
      </c>
      <c r="S33" s="7">
        <f t="shared" si="0"/>
        <v>8</v>
      </c>
      <c r="T33" s="7">
        <v>8</v>
      </c>
      <c r="U33" s="4" t="s">
        <v>1424</v>
      </c>
      <c r="V33" s="7">
        <v>0</v>
      </c>
      <c r="W33" s="4" t="s">
        <v>141</v>
      </c>
      <c r="X33" s="73">
        <v>1273</v>
      </c>
      <c r="Y33" s="5" t="s">
        <v>1687</v>
      </c>
      <c r="Z33" s="45" t="s">
        <v>423</v>
      </c>
      <c r="AF33" s="3"/>
      <c r="AG33" s="3"/>
      <c r="AH33" s="3"/>
      <c r="AI33" s="3"/>
      <c r="AJ33" s="3"/>
      <c r="AK33" s="31"/>
    </row>
    <row r="34" spans="1:37" ht="110.25" x14ac:dyDescent="0.25">
      <c r="A34" s="71" t="s">
        <v>1029</v>
      </c>
      <c r="B34" s="28" t="s">
        <v>360</v>
      </c>
      <c r="C34" s="5" t="s">
        <v>1363</v>
      </c>
      <c r="D34" s="4" t="s">
        <v>1666</v>
      </c>
      <c r="E34" s="4" t="s">
        <v>119</v>
      </c>
      <c r="F34" s="4" t="s">
        <v>1560</v>
      </c>
      <c r="G34" s="27" t="s">
        <v>6</v>
      </c>
      <c r="H34" s="35">
        <f t="shared" ref="H34:H35" si="5">8*4</f>
        <v>32</v>
      </c>
      <c r="I34" s="35">
        <f t="shared" ref="I34:I35" si="6">12*8-H34</f>
        <v>64</v>
      </c>
      <c r="J34" s="35">
        <f t="shared" ref="J34:J35" si="7">(2+8+2+4+2)*2*2</f>
        <v>72</v>
      </c>
      <c r="K34" s="7">
        <v>1</v>
      </c>
      <c r="L34" s="8">
        <v>8</v>
      </c>
      <c r="M34" s="6" t="s">
        <v>494</v>
      </c>
      <c r="N34" s="6" t="s">
        <v>494</v>
      </c>
      <c r="O34" s="4" t="s">
        <v>494</v>
      </c>
      <c r="P34" s="27" t="s">
        <v>25</v>
      </c>
      <c r="Q34" s="72">
        <v>0</v>
      </c>
      <c r="R34" s="27" t="s">
        <v>141</v>
      </c>
      <c r="S34" s="7">
        <f t="shared" si="0"/>
        <v>10</v>
      </c>
      <c r="T34" s="7">
        <v>4</v>
      </c>
      <c r="U34" s="4" t="s">
        <v>1688</v>
      </c>
      <c r="V34" s="7">
        <v>6</v>
      </c>
      <c r="W34" s="4" t="s">
        <v>160</v>
      </c>
      <c r="X34" s="73">
        <v>676</v>
      </c>
      <c r="Y34" s="5" t="s">
        <v>1687</v>
      </c>
      <c r="AF34" s="3"/>
      <c r="AG34" s="3"/>
      <c r="AH34" s="3"/>
      <c r="AI34" s="3"/>
      <c r="AJ34" s="3"/>
      <c r="AK34" s="31"/>
    </row>
    <row r="35" spans="1:37" ht="91.5" customHeight="1" x14ac:dyDescent="0.25">
      <c r="A35" s="71" t="s">
        <v>1030</v>
      </c>
      <c r="B35" s="28" t="s">
        <v>360</v>
      </c>
      <c r="C35" s="5" t="s">
        <v>1363</v>
      </c>
      <c r="D35" s="4" t="s">
        <v>27</v>
      </c>
      <c r="E35" s="4" t="s">
        <v>119</v>
      </c>
      <c r="F35" s="4" t="s">
        <v>1560</v>
      </c>
      <c r="G35" s="27" t="s">
        <v>6</v>
      </c>
      <c r="H35" s="35">
        <f t="shared" si="5"/>
        <v>32</v>
      </c>
      <c r="I35" s="35">
        <f t="shared" si="6"/>
        <v>64</v>
      </c>
      <c r="J35" s="35">
        <f t="shared" si="7"/>
        <v>72</v>
      </c>
      <c r="K35" s="7">
        <v>1</v>
      </c>
      <c r="L35" s="8">
        <v>8</v>
      </c>
      <c r="M35" s="6" t="s">
        <v>494</v>
      </c>
      <c r="N35" s="6" t="s">
        <v>494</v>
      </c>
      <c r="O35" s="4" t="s">
        <v>494</v>
      </c>
      <c r="P35" s="27" t="s">
        <v>26</v>
      </c>
      <c r="Q35" s="72">
        <v>0</v>
      </c>
      <c r="R35" s="27" t="s">
        <v>141</v>
      </c>
      <c r="S35" s="7">
        <f t="shared" si="0"/>
        <v>7</v>
      </c>
      <c r="T35" s="7">
        <v>2</v>
      </c>
      <c r="U35" s="4" t="s">
        <v>162</v>
      </c>
      <c r="V35" s="7">
        <v>5</v>
      </c>
      <c r="W35" s="4" t="s">
        <v>163</v>
      </c>
      <c r="X35" s="73">
        <v>371</v>
      </c>
      <c r="Y35" s="5" t="s">
        <v>1687</v>
      </c>
      <c r="AF35" s="3"/>
      <c r="AG35" s="3"/>
      <c r="AH35" s="3"/>
      <c r="AI35" s="3"/>
      <c r="AJ35" s="3"/>
      <c r="AK35" s="31"/>
    </row>
    <row r="36" spans="1:37" ht="69" customHeight="1" x14ac:dyDescent="0.25">
      <c r="A36" s="71" t="s">
        <v>1031</v>
      </c>
      <c r="B36" s="28" t="s">
        <v>360</v>
      </c>
      <c r="C36" s="5" t="s">
        <v>1363</v>
      </c>
      <c r="D36" s="4" t="s">
        <v>34</v>
      </c>
      <c r="E36" s="4" t="s">
        <v>119</v>
      </c>
      <c r="F36" s="4" t="s">
        <v>653</v>
      </c>
      <c r="G36" s="27" t="s">
        <v>13</v>
      </c>
      <c r="H36" s="35">
        <f t="shared" si="2"/>
        <v>24</v>
      </c>
      <c r="I36" s="35">
        <f t="shared" ref="I36:I37" si="8">10*8-H36</f>
        <v>56</v>
      </c>
      <c r="J36" s="35">
        <f t="shared" si="4"/>
        <v>56</v>
      </c>
      <c r="K36" s="7">
        <v>1</v>
      </c>
      <c r="L36" s="8">
        <v>8</v>
      </c>
      <c r="M36" s="6" t="s">
        <v>494</v>
      </c>
      <c r="N36" s="6" t="s">
        <v>494</v>
      </c>
      <c r="O36" s="4" t="s">
        <v>494</v>
      </c>
      <c r="P36" s="27" t="s">
        <v>35</v>
      </c>
      <c r="Q36" s="72">
        <v>0</v>
      </c>
      <c r="R36" s="27" t="s">
        <v>141</v>
      </c>
      <c r="S36" s="7">
        <f t="shared" si="0"/>
        <v>13</v>
      </c>
      <c r="T36" s="7">
        <v>13</v>
      </c>
      <c r="U36" s="4" t="s">
        <v>165</v>
      </c>
      <c r="V36" s="7">
        <v>0</v>
      </c>
      <c r="W36" s="4" t="s">
        <v>141</v>
      </c>
      <c r="X36" s="73">
        <v>379</v>
      </c>
      <c r="Y36" s="5" t="s">
        <v>1687</v>
      </c>
      <c r="Z36" s="45" t="s">
        <v>423</v>
      </c>
      <c r="AF36" s="3"/>
      <c r="AG36" s="3"/>
      <c r="AH36" s="3"/>
      <c r="AI36" s="3"/>
      <c r="AJ36" s="3"/>
      <c r="AK36" s="31"/>
    </row>
    <row r="37" spans="1:37" ht="54" customHeight="1" x14ac:dyDescent="0.25">
      <c r="A37" s="71" t="s">
        <v>1032</v>
      </c>
      <c r="B37" s="28" t="s">
        <v>360</v>
      </c>
      <c r="C37" s="5" t="s">
        <v>1363</v>
      </c>
      <c r="D37" s="4" t="s">
        <v>756</v>
      </c>
      <c r="E37" s="4" t="s">
        <v>119</v>
      </c>
      <c r="F37" s="4" t="s">
        <v>652</v>
      </c>
      <c r="G37" s="27" t="s">
        <v>36</v>
      </c>
      <c r="H37" s="35">
        <f t="shared" si="2"/>
        <v>24</v>
      </c>
      <c r="I37" s="35">
        <f t="shared" si="8"/>
        <v>56</v>
      </c>
      <c r="J37" s="35">
        <f t="shared" si="4"/>
        <v>56</v>
      </c>
      <c r="K37" s="7">
        <v>1</v>
      </c>
      <c r="L37" s="8">
        <v>8</v>
      </c>
      <c r="M37" s="6" t="s">
        <v>494</v>
      </c>
      <c r="N37" s="6" t="s">
        <v>494</v>
      </c>
      <c r="O37" s="4" t="s">
        <v>494</v>
      </c>
      <c r="P37" s="27" t="s">
        <v>37</v>
      </c>
      <c r="Q37" s="72">
        <v>0</v>
      </c>
      <c r="R37" s="27" t="s">
        <v>141</v>
      </c>
      <c r="S37" s="7">
        <f t="shared" si="0"/>
        <v>11</v>
      </c>
      <c r="T37" s="7">
        <v>11</v>
      </c>
      <c r="U37" s="4" t="s">
        <v>166</v>
      </c>
      <c r="V37" s="7">
        <v>0</v>
      </c>
      <c r="W37" s="4" t="s">
        <v>141</v>
      </c>
      <c r="X37" s="73">
        <v>324</v>
      </c>
      <c r="Y37" s="5" t="s">
        <v>1687</v>
      </c>
      <c r="Z37" s="45" t="s">
        <v>423</v>
      </c>
      <c r="AF37" s="3"/>
      <c r="AG37" s="3"/>
      <c r="AH37" s="3"/>
      <c r="AI37" s="3"/>
      <c r="AJ37" s="3"/>
      <c r="AK37" s="31"/>
    </row>
    <row r="38" spans="1:37" ht="67.5" customHeight="1" x14ac:dyDescent="0.25">
      <c r="A38" s="71" t="s">
        <v>1033</v>
      </c>
      <c r="B38" s="28" t="s">
        <v>360</v>
      </c>
      <c r="C38" s="5" t="s">
        <v>1363</v>
      </c>
      <c r="D38" s="4" t="s">
        <v>288</v>
      </c>
      <c r="E38" s="4" t="s">
        <v>287</v>
      </c>
      <c r="F38" s="4" t="s">
        <v>660</v>
      </c>
      <c r="G38" s="27" t="s">
        <v>6</v>
      </c>
      <c r="H38" s="35">
        <f>7.5*2</f>
        <v>15</v>
      </c>
      <c r="I38" s="35">
        <f>11.5*6-H38</f>
        <v>54</v>
      </c>
      <c r="J38" s="35">
        <f>(2+7.5+2+2)*1.6*2</f>
        <v>43.2</v>
      </c>
      <c r="K38" s="7">
        <v>4</v>
      </c>
      <c r="L38" s="8">
        <v>4.4000000000000004</v>
      </c>
      <c r="M38" s="4" t="s">
        <v>494</v>
      </c>
      <c r="N38" s="4" t="s">
        <v>494</v>
      </c>
      <c r="O38" s="4" t="s">
        <v>1974</v>
      </c>
      <c r="P38" s="27"/>
      <c r="Q38" s="72">
        <v>0</v>
      </c>
      <c r="R38" s="27" t="s">
        <v>141</v>
      </c>
      <c r="S38" s="7">
        <f t="shared" si="0"/>
        <v>5</v>
      </c>
      <c r="T38" s="7">
        <v>5</v>
      </c>
      <c r="U38" s="4" t="s">
        <v>389</v>
      </c>
      <c r="V38" s="7">
        <v>0</v>
      </c>
      <c r="W38" s="4" t="s">
        <v>141</v>
      </c>
      <c r="X38" s="73">
        <v>336</v>
      </c>
      <c r="Y38" s="5" t="s">
        <v>1687</v>
      </c>
      <c r="Z38" s="45" t="s">
        <v>425</v>
      </c>
      <c r="AA38" s="138" t="s">
        <v>390</v>
      </c>
      <c r="AB38" s="138"/>
      <c r="AC38" s="138"/>
      <c r="AD38" s="138"/>
      <c r="AE38" s="138"/>
      <c r="AF38" s="3"/>
      <c r="AG38" s="3"/>
      <c r="AH38" s="3"/>
      <c r="AI38" s="3"/>
      <c r="AJ38" s="3"/>
      <c r="AK38" s="31"/>
    </row>
    <row r="39" spans="1:37" ht="69" customHeight="1" x14ac:dyDescent="0.25">
      <c r="A39" s="71" t="s">
        <v>1034</v>
      </c>
      <c r="B39" s="28" t="s">
        <v>360</v>
      </c>
      <c r="C39" s="5" t="s">
        <v>1363</v>
      </c>
      <c r="D39" s="4" t="s">
        <v>38</v>
      </c>
      <c r="E39" s="4" t="s">
        <v>125</v>
      </c>
      <c r="F39" s="4" t="s">
        <v>224</v>
      </c>
      <c r="G39" s="27" t="s">
        <v>39</v>
      </c>
      <c r="H39" s="35">
        <f>6*4</f>
        <v>24</v>
      </c>
      <c r="I39" s="35">
        <f>10*8-H39</f>
        <v>56</v>
      </c>
      <c r="J39" s="35">
        <f>(4+6+4)*2*2</f>
        <v>56</v>
      </c>
      <c r="K39" s="7">
        <v>1</v>
      </c>
      <c r="L39" s="8">
        <v>8</v>
      </c>
      <c r="M39" s="6" t="s">
        <v>494</v>
      </c>
      <c r="N39" s="6" t="s">
        <v>494</v>
      </c>
      <c r="O39" s="4" t="s">
        <v>494</v>
      </c>
      <c r="P39" s="27" t="s">
        <v>114</v>
      </c>
      <c r="Q39" s="72">
        <v>0</v>
      </c>
      <c r="R39" s="27" t="s">
        <v>141</v>
      </c>
      <c r="S39" s="7">
        <f t="shared" si="0"/>
        <v>5</v>
      </c>
      <c r="T39" s="7">
        <v>5</v>
      </c>
      <c r="U39" s="4" t="s">
        <v>167</v>
      </c>
      <c r="V39" s="7">
        <v>0</v>
      </c>
      <c r="W39" s="4" t="s">
        <v>141</v>
      </c>
      <c r="X39" s="73">
        <v>634</v>
      </c>
      <c r="Y39" s="5" t="s">
        <v>1687</v>
      </c>
      <c r="AF39" s="3"/>
      <c r="AG39" s="3"/>
      <c r="AH39" s="3"/>
      <c r="AI39" s="3"/>
      <c r="AJ39" s="3"/>
      <c r="AK39" s="31"/>
    </row>
    <row r="40" spans="1:37" ht="84" customHeight="1" x14ac:dyDescent="0.25">
      <c r="A40" s="71" t="s">
        <v>1035</v>
      </c>
      <c r="B40" s="28" t="s">
        <v>360</v>
      </c>
      <c r="C40" s="5" t="s">
        <v>1363</v>
      </c>
      <c r="D40" s="4" t="s">
        <v>40</v>
      </c>
      <c r="E40" s="4" t="s">
        <v>125</v>
      </c>
      <c r="F40" s="4" t="s">
        <v>654</v>
      </c>
      <c r="G40" s="27" t="s">
        <v>29</v>
      </c>
      <c r="H40" s="35">
        <f>6*4+1.1*4</f>
        <v>28.4</v>
      </c>
      <c r="I40" s="35">
        <f>(10*8+5*8)-H40</f>
        <v>91.6</v>
      </c>
      <c r="J40" s="35">
        <f>(4+6+4)*2*2</f>
        <v>56</v>
      </c>
      <c r="K40" s="7">
        <v>2</v>
      </c>
      <c r="L40" s="8">
        <v>16</v>
      </c>
      <c r="M40" s="6" t="s">
        <v>494</v>
      </c>
      <c r="N40" s="6" t="s">
        <v>494</v>
      </c>
      <c r="O40" s="4" t="s">
        <v>494</v>
      </c>
      <c r="P40" s="27" t="s">
        <v>41</v>
      </c>
      <c r="Q40" s="72">
        <v>0</v>
      </c>
      <c r="R40" s="27" t="s">
        <v>141</v>
      </c>
      <c r="S40" s="7">
        <f t="shared" si="0"/>
        <v>12</v>
      </c>
      <c r="T40" s="7">
        <v>12</v>
      </c>
      <c r="U40" s="4" t="s">
        <v>2150</v>
      </c>
      <c r="V40" s="7">
        <v>0</v>
      </c>
      <c r="W40" s="4" t="s">
        <v>141</v>
      </c>
      <c r="X40" s="73">
        <v>1148</v>
      </c>
      <c r="Y40" s="5" t="s">
        <v>1687</v>
      </c>
      <c r="Z40" s="45" t="s">
        <v>423</v>
      </c>
      <c r="AF40" s="3"/>
      <c r="AG40" s="3"/>
      <c r="AH40" s="3"/>
      <c r="AI40" s="3"/>
      <c r="AJ40" s="3"/>
      <c r="AK40" s="31"/>
    </row>
    <row r="41" spans="1:37" ht="70.5" customHeight="1" x14ac:dyDescent="0.25">
      <c r="A41" s="71" t="s">
        <v>1036</v>
      </c>
      <c r="B41" s="28" t="s">
        <v>360</v>
      </c>
      <c r="C41" s="5" t="s">
        <v>1363</v>
      </c>
      <c r="D41" s="4" t="s">
        <v>42</v>
      </c>
      <c r="E41" s="4" t="s">
        <v>128</v>
      </c>
      <c r="F41" s="4" t="s">
        <v>655</v>
      </c>
      <c r="G41" s="27" t="s">
        <v>43</v>
      </c>
      <c r="H41" s="35">
        <f>6*4*2+1.1*4</f>
        <v>52.4</v>
      </c>
      <c r="I41" s="35">
        <f>(10*8*2+8*5)-H41</f>
        <v>147.6</v>
      </c>
      <c r="J41" s="35">
        <f>(4+6+4)*2*2</f>
        <v>56</v>
      </c>
      <c r="K41" s="7">
        <v>2</v>
      </c>
      <c r="L41" s="8">
        <v>16</v>
      </c>
      <c r="M41" s="6" t="s">
        <v>494</v>
      </c>
      <c r="N41" s="6" t="s">
        <v>494</v>
      </c>
      <c r="O41" s="4" t="s">
        <v>494</v>
      </c>
      <c r="P41" s="27" t="s">
        <v>110</v>
      </c>
      <c r="Q41" s="72">
        <v>0</v>
      </c>
      <c r="R41" s="27" t="s">
        <v>141</v>
      </c>
      <c r="S41" s="7">
        <f t="shared" ref="S41:S72" si="9">T41+V41</f>
        <v>18</v>
      </c>
      <c r="T41" s="7">
        <v>18</v>
      </c>
      <c r="U41" s="4" t="s">
        <v>168</v>
      </c>
      <c r="V41" s="7">
        <v>0</v>
      </c>
      <c r="W41" s="4" t="s">
        <v>141</v>
      </c>
      <c r="X41" s="73">
        <v>1296</v>
      </c>
      <c r="Y41" s="5" t="s">
        <v>1687</v>
      </c>
      <c r="Z41" s="45" t="s">
        <v>423</v>
      </c>
      <c r="AF41" s="3"/>
      <c r="AG41" s="3"/>
      <c r="AH41" s="3"/>
      <c r="AI41" s="3"/>
      <c r="AJ41" s="3"/>
      <c r="AK41" s="31"/>
    </row>
    <row r="42" spans="1:37" ht="70.5" customHeight="1" x14ac:dyDescent="0.25">
      <c r="A42" s="71" t="s">
        <v>1037</v>
      </c>
      <c r="B42" s="28" t="s">
        <v>360</v>
      </c>
      <c r="C42" s="5" t="s">
        <v>1718</v>
      </c>
      <c r="D42" s="4" t="s">
        <v>44</v>
      </c>
      <c r="E42" s="4" t="s">
        <v>119</v>
      </c>
      <c r="F42" s="27" t="s">
        <v>6</v>
      </c>
      <c r="G42" s="27" t="s">
        <v>6</v>
      </c>
      <c r="H42" s="27" t="s">
        <v>6</v>
      </c>
      <c r="I42" s="27" t="s">
        <v>6</v>
      </c>
      <c r="J42" s="27" t="s">
        <v>6</v>
      </c>
      <c r="K42" s="7" t="s">
        <v>6</v>
      </c>
      <c r="L42" s="8" t="s">
        <v>6</v>
      </c>
      <c r="M42" s="6" t="s">
        <v>6</v>
      </c>
      <c r="N42" s="6" t="s">
        <v>6</v>
      </c>
      <c r="O42" s="4" t="s">
        <v>6</v>
      </c>
      <c r="P42" s="27" t="s">
        <v>45</v>
      </c>
      <c r="Q42" s="72">
        <v>0</v>
      </c>
      <c r="R42" s="27" t="s">
        <v>141</v>
      </c>
      <c r="S42" s="27" t="s">
        <v>141</v>
      </c>
      <c r="T42" s="27" t="s">
        <v>141</v>
      </c>
      <c r="U42" s="27" t="s">
        <v>141</v>
      </c>
      <c r="V42" s="27" t="s">
        <v>141</v>
      </c>
      <c r="W42" s="4" t="s">
        <v>141</v>
      </c>
      <c r="X42" s="73"/>
      <c r="Y42" s="5"/>
      <c r="Z42" s="45" t="s">
        <v>425</v>
      </c>
      <c r="AF42" s="3"/>
      <c r="AG42" s="3"/>
      <c r="AH42" s="3"/>
      <c r="AI42" s="3"/>
      <c r="AJ42" s="3"/>
      <c r="AK42" s="31"/>
    </row>
    <row r="43" spans="1:37" ht="72" customHeight="1" x14ac:dyDescent="0.25">
      <c r="A43" s="71" t="s">
        <v>1038</v>
      </c>
      <c r="B43" s="28" t="s">
        <v>360</v>
      </c>
      <c r="C43" s="5" t="s">
        <v>1363</v>
      </c>
      <c r="D43" s="4" t="s">
        <v>46</v>
      </c>
      <c r="E43" s="4" t="s">
        <v>120</v>
      </c>
      <c r="F43" s="4" t="s">
        <v>269</v>
      </c>
      <c r="G43" s="27" t="s">
        <v>6</v>
      </c>
      <c r="H43" s="35"/>
      <c r="I43" s="35"/>
      <c r="J43" s="35"/>
      <c r="K43" s="7">
        <v>3</v>
      </c>
      <c r="L43" s="8">
        <v>3.3</v>
      </c>
      <c r="M43" s="6" t="s">
        <v>494</v>
      </c>
      <c r="N43" s="6" t="s">
        <v>494</v>
      </c>
      <c r="O43" s="4" t="s">
        <v>270</v>
      </c>
      <c r="P43" s="27" t="s">
        <v>6</v>
      </c>
      <c r="Q43" s="72">
        <v>0</v>
      </c>
      <c r="R43" s="27" t="s">
        <v>141</v>
      </c>
      <c r="S43" s="7">
        <f t="shared" si="9"/>
        <v>10</v>
      </c>
      <c r="T43" s="7">
        <v>10</v>
      </c>
      <c r="U43" s="4" t="s">
        <v>169</v>
      </c>
      <c r="V43" s="7">
        <v>0</v>
      </c>
      <c r="W43" s="4" t="s">
        <v>141</v>
      </c>
      <c r="X43" s="73">
        <v>286</v>
      </c>
      <c r="Y43" s="5" t="s">
        <v>1687</v>
      </c>
      <c r="Z43" s="45" t="s">
        <v>425</v>
      </c>
      <c r="AF43" s="3"/>
      <c r="AG43" s="3"/>
      <c r="AH43" s="3"/>
      <c r="AI43" s="3"/>
      <c r="AJ43" s="3"/>
      <c r="AK43" s="31"/>
    </row>
    <row r="44" spans="1:37" ht="57" customHeight="1" x14ac:dyDescent="0.25">
      <c r="A44" s="71" t="s">
        <v>1039</v>
      </c>
      <c r="B44" s="28" t="s">
        <v>360</v>
      </c>
      <c r="C44" s="5" t="s">
        <v>1363</v>
      </c>
      <c r="D44" s="4" t="s">
        <v>47</v>
      </c>
      <c r="E44" s="4" t="s">
        <v>115</v>
      </c>
      <c r="F44" s="4" t="s">
        <v>652</v>
      </c>
      <c r="G44" s="27" t="s">
        <v>48</v>
      </c>
      <c r="H44" s="35">
        <f t="shared" ref="H44:H63" si="10">6*4</f>
        <v>24</v>
      </c>
      <c r="I44" s="35">
        <f t="shared" ref="I44:I45" si="11">10*8-H44</f>
        <v>56</v>
      </c>
      <c r="J44" s="35">
        <f t="shared" ref="J44:J65" si="12">(4+6+4)*2*2</f>
        <v>56</v>
      </c>
      <c r="K44" s="7">
        <v>1</v>
      </c>
      <c r="L44" s="8">
        <v>8</v>
      </c>
      <c r="M44" s="6" t="s">
        <v>494</v>
      </c>
      <c r="N44" s="6" t="s">
        <v>494</v>
      </c>
      <c r="O44" s="4" t="s">
        <v>494</v>
      </c>
      <c r="P44" s="27" t="s">
        <v>49</v>
      </c>
      <c r="Q44" s="72">
        <v>0</v>
      </c>
      <c r="R44" s="27" t="s">
        <v>141</v>
      </c>
      <c r="S44" s="7">
        <f t="shared" si="9"/>
        <v>3</v>
      </c>
      <c r="T44" s="7">
        <v>3</v>
      </c>
      <c r="U44" s="4" t="s">
        <v>1419</v>
      </c>
      <c r="V44" s="7">
        <v>0</v>
      </c>
      <c r="W44" s="4" t="s">
        <v>141</v>
      </c>
      <c r="X44" s="73">
        <v>718</v>
      </c>
      <c r="Y44" s="5" t="s">
        <v>1687</v>
      </c>
      <c r="Z44" s="45" t="s">
        <v>423</v>
      </c>
      <c r="AF44" s="3"/>
      <c r="AG44" s="3"/>
      <c r="AH44" s="3"/>
      <c r="AI44" s="3"/>
      <c r="AJ44" s="3"/>
      <c r="AK44" s="31"/>
    </row>
    <row r="45" spans="1:37" ht="57" customHeight="1" x14ac:dyDescent="0.25">
      <c r="A45" s="71" t="s">
        <v>1040</v>
      </c>
      <c r="B45" s="28" t="s">
        <v>360</v>
      </c>
      <c r="C45" s="5" t="s">
        <v>1363</v>
      </c>
      <c r="D45" s="4" t="s">
        <v>289</v>
      </c>
      <c r="E45" s="4" t="s">
        <v>125</v>
      </c>
      <c r="F45" s="4" t="s">
        <v>652</v>
      </c>
      <c r="G45" s="27" t="s">
        <v>50</v>
      </c>
      <c r="H45" s="35">
        <f t="shared" si="10"/>
        <v>24</v>
      </c>
      <c r="I45" s="35">
        <f t="shared" si="11"/>
        <v>56</v>
      </c>
      <c r="J45" s="35">
        <f t="shared" si="12"/>
        <v>56</v>
      </c>
      <c r="K45" s="7">
        <v>1</v>
      </c>
      <c r="L45" s="8">
        <v>8</v>
      </c>
      <c r="M45" s="6" t="s">
        <v>494</v>
      </c>
      <c r="N45" s="6" t="s">
        <v>494</v>
      </c>
      <c r="O45" s="4" t="s">
        <v>494</v>
      </c>
      <c r="P45" s="27" t="s">
        <v>51</v>
      </c>
      <c r="Q45" s="72">
        <v>0</v>
      </c>
      <c r="R45" s="27" t="s">
        <v>141</v>
      </c>
      <c r="S45" s="7">
        <f t="shared" si="9"/>
        <v>4</v>
      </c>
      <c r="T45" s="7">
        <v>4</v>
      </c>
      <c r="U45" s="4" t="s">
        <v>170</v>
      </c>
      <c r="V45" s="7">
        <v>0</v>
      </c>
      <c r="W45" s="4" t="s">
        <v>141</v>
      </c>
      <c r="X45" s="73">
        <v>689</v>
      </c>
      <c r="Y45" s="5" t="s">
        <v>1687</v>
      </c>
      <c r="Z45" s="45" t="s">
        <v>423</v>
      </c>
      <c r="AF45" s="3"/>
      <c r="AG45" s="3"/>
      <c r="AH45" s="3"/>
      <c r="AI45" s="3"/>
      <c r="AJ45" s="3"/>
      <c r="AK45" s="31"/>
    </row>
    <row r="46" spans="1:37" ht="85.5" customHeight="1" x14ac:dyDescent="0.25">
      <c r="A46" s="71" t="s">
        <v>1041</v>
      </c>
      <c r="B46" s="28" t="s">
        <v>360</v>
      </c>
      <c r="C46" s="5" t="s">
        <v>1363</v>
      </c>
      <c r="D46" s="4" t="s">
        <v>757</v>
      </c>
      <c r="E46" s="4" t="s">
        <v>125</v>
      </c>
      <c r="F46" s="4" t="s">
        <v>1560</v>
      </c>
      <c r="G46" s="27" t="s">
        <v>52</v>
      </c>
      <c r="H46" s="35">
        <f t="shared" si="10"/>
        <v>24</v>
      </c>
      <c r="I46" s="35">
        <f>12*8-H46</f>
        <v>72</v>
      </c>
      <c r="J46" s="35">
        <v>0</v>
      </c>
      <c r="K46" s="7">
        <v>1</v>
      </c>
      <c r="L46" s="8">
        <v>8</v>
      </c>
      <c r="M46" s="6" t="s">
        <v>494</v>
      </c>
      <c r="N46" s="6" t="s">
        <v>494</v>
      </c>
      <c r="O46" s="4" t="s">
        <v>494</v>
      </c>
      <c r="P46" s="27" t="s">
        <v>53</v>
      </c>
      <c r="Q46" s="72">
        <v>0</v>
      </c>
      <c r="R46" s="27" t="s">
        <v>141</v>
      </c>
      <c r="S46" s="7">
        <f t="shared" si="9"/>
        <v>7</v>
      </c>
      <c r="T46" s="7">
        <v>7</v>
      </c>
      <c r="U46" s="4" t="s">
        <v>171</v>
      </c>
      <c r="V46" s="7">
        <v>0</v>
      </c>
      <c r="W46" s="4" t="s">
        <v>141</v>
      </c>
      <c r="X46" s="73">
        <v>710</v>
      </c>
      <c r="Y46" s="5" t="s">
        <v>1687</v>
      </c>
      <c r="AF46" s="3"/>
      <c r="AG46" s="3"/>
      <c r="AH46" s="3"/>
      <c r="AI46" s="3"/>
      <c r="AJ46" s="3"/>
      <c r="AK46" s="31"/>
    </row>
    <row r="47" spans="1:37" ht="88.5" customHeight="1" x14ac:dyDescent="0.25">
      <c r="A47" s="71" t="s">
        <v>1042</v>
      </c>
      <c r="B47" s="28" t="s">
        <v>360</v>
      </c>
      <c r="C47" s="5" t="s">
        <v>1363</v>
      </c>
      <c r="D47" s="4" t="s">
        <v>54</v>
      </c>
      <c r="E47" s="4" t="s">
        <v>671</v>
      </c>
      <c r="F47" s="4" t="s">
        <v>723</v>
      </c>
      <c r="G47" s="27" t="s">
        <v>55</v>
      </c>
      <c r="H47" s="35">
        <f t="shared" si="10"/>
        <v>24</v>
      </c>
      <c r="I47" s="35">
        <f>10*8-H47</f>
        <v>56</v>
      </c>
      <c r="J47" s="35">
        <f t="shared" si="12"/>
        <v>56</v>
      </c>
      <c r="K47" s="7">
        <v>2</v>
      </c>
      <c r="L47" s="8" t="s">
        <v>1607</v>
      </c>
      <c r="M47" s="6" t="s">
        <v>494</v>
      </c>
      <c r="N47" s="6" t="s">
        <v>494</v>
      </c>
      <c r="O47" s="4" t="s">
        <v>1608</v>
      </c>
      <c r="P47" s="27"/>
      <c r="Q47" s="72" t="s">
        <v>197</v>
      </c>
      <c r="R47" s="27" t="s">
        <v>1609</v>
      </c>
      <c r="S47" s="7">
        <f t="shared" si="9"/>
        <v>9</v>
      </c>
      <c r="T47" s="7">
        <v>9</v>
      </c>
      <c r="U47" s="4" t="s">
        <v>1719</v>
      </c>
      <c r="V47" s="7">
        <v>0</v>
      </c>
      <c r="W47" s="4" t="s">
        <v>141</v>
      </c>
      <c r="X47" s="73">
        <f>731+6+9</f>
        <v>746</v>
      </c>
      <c r="Y47" s="5" t="s">
        <v>1687</v>
      </c>
      <c r="Z47" s="45" t="s">
        <v>423</v>
      </c>
      <c r="AF47" s="3"/>
      <c r="AG47" s="3"/>
      <c r="AH47" s="3"/>
      <c r="AI47" s="3"/>
      <c r="AJ47" s="3"/>
      <c r="AK47" s="31"/>
    </row>
    <row r="48" spans="1:37" ht="85.5" customHeight="1" x14ac:dyDescent="0.25">
      <c r="A48" s="71" t="s">
        <v>1043</v>
      </c>
      <c r="B48" s="28" t="s">
        <v>360</v>
      </c>
      <c r="C48" s="5" t="s">
        <v>1363</v>
      </c>
      <c r="D48" s="4" t="s">
        <v>1561</v>
      </c>
      <c r="E48" s="4" t="s">
        <v>128</v>
      </c>
      <c r="F48" s="4" t="s">
        <v>1560</v>
      </c>
      <c r="G48" s="27" t="s">
        <v>56</v>
      </c>
      <c r="H48" s="35">
        <f>4*8</f>
        <v>32</v>
      </c>
      <c r="I48" s="35">
        <f>12*8-H48</f>
        <v>64</v>
      </c>
      <c r="J48" s="35">
        <f>(2+8+2+4+2)*2*2</f>
        <v>72</v>
      </c>
      <c r="K48" s="7">
        <v>1</v>
      </c>
      <c r="L48" s="8">
        <v>8</v>
      </c>
      <c r="M48" s="6" t="s">
        <v>494</v>
      </c>
      <c r="N48" s="6" t="s">
        <v>494</v>
      </c>
      <c r="O48" s="4" t="s">
        <v>494</v>
      </c>
      <c r="P48" s="27" t="s">
        <v>57</v>
      </c>
      <c r="Q48" s="72" t="s">
        <v>197</v>
      </c>
      <c r="R48" s="27" t="s">
        <v>141</v>
      </c>
      <c r="S48" s="7">
        <f t="shared" si="9"/>
        <v>4</v>
      </c>
      <c r="T48" s="7">
        <v>4</v>
      </c>
      <c r="U48" s="4" t="s">
        <v>172</v>
      </c>
      <c r="V48" s="7">
        <v>0</v>
      </c>
      <c r="W48" s="4" t="s">
        <v>141</v>
      </c>
      <c r="X48" s="73">
        <v>526</v>
      </c>
      <c r="Y48" s="5" t="s">
        <v>1687</v>
      </c>
      <c r="AF48" s="3"/>
      <c r="AG48" s="3"/>
      <c r="AH48" s="3"/>
      <c r="AI48" s="3"/>
      <c r="AJ48" s="3"/>
      <c r="AK48" s="31"/>
    </row>
    <row r="49" spans="1:37" ht="55.5" customHeight="1" x14ac:dyDescent="0.25">
      <c r="A49" s="71" t="s">
        <v>1044</v>
      </c>
      <c r="B49" s="28" t="s">
        <v>360</v>
      </c>
      <c r="C49" s="5" t="s">
        <v>1363</v>
      </c>
      <c r="D49" s="4" t="s">
        <v>58</v>
      </c>
      <c r="E49" s="4" t="s">
        <v>125</v>
      </c>
      <c r="F49" s="4" t="s">
        <v>652</v>
      </c>
      <c r="G49" s="27" t="s">
        <v>59</v>
      </c>
      <c r="H49" s="35">
        <f t="shared" si="10"/>
        <v>24</v>
      </c>
      <c r="I49" s="35">
        <f t="shared" ref="I49:I50" si="13">10*8-H49</f>
        <v>56</v>
      </c>
      <c r="J49" s="35">
        <f t="shared" si="12"/>
        <v>56</v>
      </c>
      <c r="K49" s="7">
        <v>1</v>
      </c>
      <c r="L49" s="8">
        <v>8</v>
      </c>
      <c r="M49" s="6" t="s">
        <v>494</v>
      </c>
      <c r="N49" s="6" t="s">
        <v>494</v>
      </c>
      <c r="O49" s="4" t="s">
        <v>494</v>
      </c>
      <c r="P49" s="27" t="s">
        <v>61</v>
      </c>
      <c r="Q49" s="72" t="s">
        <v>197</v>
      </c>
      <c r="R49" s="27" t="s">
        <v>141</v>
      </c>
      <c r="S49" s="7">
        <f t="shared" si="9"/>
        <v>6</v>
      </c>
      <c r="T49" s="7">
        <v>6</v>
      </c>
      <c r="U49" s="4" t="s">
        <v>173</v>
      </c>
      <c r="V49" s="7">
        <v>0</v>
      </c>
      <c r="W49" s="4" t="s">
        <v>141</v>
      </c>
      <c r="X49" s="73">
        <v>464</v>
      </c>
      <c r="Y49" s="5" t="s">
        <v>1687</v>
      </c>
      <c r="AF49" s="3"/>
      <c r="AG49" s="3"/>
      <c r="AH49" s="3"/>
      <c r="AI49" s="3"/>
      <c r="AJ49" s="3"/>
      <c r="AK49" s="31"/>
    </row>
    <row r="50" spans="1:37" ht="58.5" customHeight="1" x14ac:dyDescent="0.25">
      <c r="A50" s="71" t="s">
        <v>1045</v>
      </c>
      <c r="B50" s="28" t="s">
        <v>360</v>
      </c>
      <c r="C50" s="5" t="s">
        <v>1363</v>
      </c>
      <c r="D50" s="4" t="s">
        <v>758</v>
      </c>
      <c r="E50" s="4" t="s">
        <v>119</v>
      </c>
      <c r="F50" s="4" t="s">
        <v>652</v>
      </c>
      <c r="G50" s="27" t="s">
        <v>60</v>
      </c>
      <c r="H50" s="35">
        <f t="shared" si="10"/>
        <v>24</v>
      </c>
      <c r="I50" s="35">
        <f t="shared" si="13"/>
        <v>56</v>
      </c>
      <c r="J50" s="35">
        <f t="shared" si="12"/>
        <v>56</v>
      </c>
      <c r="K50" s="7">
        <v>1</v>
      </c>
      <c r="L50" s="8">
        <v>8</v>
      </c>
      <c r="M50" s="6" t="s">
        <v>494</v>
      </c>
      <c r="N50" s="6" t="s">
        <v>494</v>
      </c>
      <c r="O50" s="4" t="s">
        <v>494</v>
      </c>
      <c r="P50" s="27" t="s">
        <v>62</v>
      </c>
      <c r="Q50" s="72" t="s">
        <v>197</v>
      </c>
      <c r="R50" s="27" t="s">
        <v>141</v>
      </c>
      <c r="S50" s="7">
        <f t="shared" si="9"/>
        <v>3</v>
      </c>
      <c r="T50" s="7">
        <v>3</v>
      </c>
      <c r="U50" s="4" t="s">
        <v>1420</v>
      </c>
      <c r="V50" s="7">
        <v>0</v>
      </c>
      <c r="W50" s="4" t="s">
        <v>141</v>
      </c>
      <c r="X50" s="73">
        <v>305</v>
      </c>
      <c r="Y50" s="5" t="s">
        <v>1687</v>
      </c>
      <c r="AF50" s="3"/>
      <c r="AG50" s="3"/>
      <c r="AH50" s="3"/>
      <c r="AI50" s="3"/>
      <c r="AJ50" s="3"/>
      <c r="AK50" s="31"/>
    </row>
    <row r="51" spans="1:37" ht="84" customHeight="1" x14ac:dyDescent="0.25">
      <c r="A51" s="71" t="s">
        <v>1046</v>
      </c>
      <c r="B51" s="28" t="s">
        <v>360</v>
      </c>
      <c r="C51" s="5" t="s">
        <v>1363</v>
      </c>
      <c r="D51" s="4" t="s">
        <v>63</v>
      </c>
      <c r="E51" s="4" t="s">
        <v>130</v>
      </c>
      <c r="F51" s="4" t="s">
        <v>651</v>
      </c>
      <c r="G51" s="27" t="s">
        <v>64</v>
      </c>
      <c r="H51" s="35">
        <f>6*4+1.1*4</f>
        <v>28.4</v>
      </c>
      <c r="I51" s="35">
        <f>(10*8+5*8)-H51</f>
        <v>91.6</v>
      </c>
      <c r="J51" s="35">
        <f t="shared" si="12"/>
        <v>56</v>
      </c>
      <c r="K51" s="7">
        <v>1</v>
      </c>
      <c r="L51" s="8">
        <v>8</v>
      </c>
      <c r="M51" s="6" t="s">
        <v>494</v>
      </c>
      <c r="N51" s="6" t="s">
        <v>494</v>
      </c>
      <c r="O51" s="4" t="s">
        <v>273</v>
      </c>
      <c r="P51" s="27" t="s">
        <v>65</v>
      </c>
      <c r="Q51" s="72" t="s">
        <v>197</v>
      </c>
      <c r="R51" s="27" t="s">
        <v>141</v>
      </c>
      <c r="S51" s="7">
        <f t="shared" si="9"/>
        <v>12</v>
      </c>
      <c r="T51" s="7">
        <v>12</v>
      </c>
      <c r="U51" s="4" t="s">
        <v>1425</v>
      </c>
      <c r="V51" s="7">
        <v>0</v>
      </c>
      <c r="W51" s="4" t="s">
        <v>141</v>
      </c>
      <c r="X51" s="73">
        <v>1275</v>
      </c>
      <c r="Y51" s="5" t="s">
        <v>1687</v>
      </c>
      <c r="AF51" s="3"/>
      <c r="AG51" s="3"/>
      <c r="AH51" s="3"/>
      <c r="AI51" s="3"/>
      <c r="AJ51" s="3"/>
      <c r="AK51" s="31"/>
    </row>
    <row r="52" spans="1:37" ht="110.25" x14ac:dyDescent="0.25">
      <c r="A52" s="71" t="s">
        <v>1047</v>
      </c>
      <c r="B52" s="28" t="s">
        <v>360</v>
      </c>
      <c r="C52" s="5" t="s">
        <v>1363</v>
      </c>
      <c r="D52" s="4" t="s">
        <v>66</v>
      </c>
      <c r="E52" s="4" t="s">
        <v>131</v>
      </c>
      <c r="F52" s="4" t="s">
        <v>652</v>
      </c>
      <c r="G52" s="27" t="s">
        <v>67</v>
      </c>
      <c r="H52" s="35">
        <f t="shared" si="10"/>
        <v>24</v>
      </c>
      <c r="I52" s="35">
        <f t="shared" ref="I52:I56" si="14">10*8-H52</f>
        <v>56</v>
      </c>
      <c r="J52" s="35">
        <f t="shared" si="12"/>
        <v>56</v>
      </c>
      <c r="K52" s="7">
        <v>1</v>
      </c>
      <c r="L52" s="8">
        <v>8</v>
      </c>
      <c r="M52" s="6" t="s">
        <v>494</v>
      </c>
      <c r="N52" s="6" t="s">
        <v>494</v>
      </c>
      <c r="O52" s="4" t="s">
        <v>273</v>
      </c>
      <c r="P52" s="27" t="s">
        <v>68</v>
      </c>
      <c r="Q52" s="72" t="s">
        <v>197</v>
      </c>
      <c r="R52" s="27" t="s">
        <v>141</v>
      </c>
      <c r="S52" s="7">
        <f t="shared" si="9"/>
        <v>6</v>
      </c>
      <c r="T52" s="7">
        <v>6</v>
      </c>
      <c r="U52" s="4" t="s">
        <v>174</v>
      </c>
      <c r="V52" s="7">
        <v>0</v>
      </c>
      <c r="W52" s="4" t="s">
        <v>141</v>
      </c>
      <c r="X52" s="73">
        <v>583</v>
      </c>
      <c r="Y52" s="5" t="s">
        <v>1687</v>
      </c>
      <c r="AF52" s="3"/>
      <c r="AG52" s="3"/>
      <c r="AH52" s="3"/>
      <c r="AI52" s="3"/>
      <c r="AJ52" s="3"/>
      <c r="AK52" s="31"/>
    </row>
    <row r="53" spans="1:37" ht="73.5" customHeight="1" x14ac:dyDescent="0.25">
      <c r="A53" s="71" t="s">
        <v>1048</v>
      </c>
      <c r="B53" s="28" t="s">
        <v>360</v>
      </c>
      <c r="C53" s="5" t="s">
        <v>1363</v>
      </c>
      <c r="D53" s="4" t="s">
        <v>69</v>
      </c>
      <c r="E53" s="4" t="s">
        <v>125</v>
      </c>
      <c r="F53" s="4" t="s">
        <v>652</v>
      </c>
      <c r="G53" s="27" t="s">
        <v>70</v>
      </c>
      <c r="H53" s="35">
        <f t="shared" si="10"/>
        <v>24</v>
      </c>
      <c r="I53" s="35">
        <f t="shared" si="14"/>
        <v>56</v>
      </c>
      <c r="J53" s="35">
        <f t="shared" si="12"/>
        <v>56</v>
      </c>
      <c r="K53" s="7">
        <v>1</v>
      </c>
      <c r="L53" s="8">
        <v>8</v>
      </c>
      <c r="M53" s="6" t="s">
        <v>494</v>
      </c>
      <c r="N53" s="6" t="s">
        <v>494</v>
      </c>
      <c r="O53" s="4" t="s">
        <v>273</v>
      </c>
      <c r="P53" s="27" t="s">
        <v>71</v>
      </c>
      <c r="Q53" s="72" t="s">
        <v>197</v>
      </c>
      <c r="R53" s="27" t="s">
        <v>141</v>
      </c>
      <c r="S53" s="7">
        <f t="shared" si="9"/>
        <v>10</v>
      </c>
      <c r="T53" s="7">
        <v>10</v>
      </c>
      <c r="U53" s="4" t="s">
        <v>175</v>
      </c>
      <c r="V53" s="7">
        <v>0</v>
      </c>
      <c r="W53" s="4" t="s">
        <v>141</v>
      </c>
      <c r="X53" s="73">
        <v>1200</v>
      </c>
      <c r="Y53" s="5" t="s">
        <v>1687</v>
      </c>
      <c r="AF53" s="3"/>
      <c r="AG53" s="3"/>
      <c r="AH53" s="3"/>
      <c r="AI53" s="3"/>
      <c r="AJ53" s="3"/>
      <c r="AK53" s="31"/>
    </row>
    <row r="54" spans="1:37" ht="61.5" customHeight="1" x14ac:dyDescent="0.25">
      <c r="A54" s="71" t="s">
        <v>1049</v>
      </c>
      <c r="B54" s="28" t="s">
        <v>360</v>
      </c>
      <c r="C54" s="5" t="s">
        <v>1363</v>
      </c>
      <c r="D54" s="4" t="s">
        <v>72</v>
      </c>
      <c r="E54" s="4" t="s">
        <v>671</v>
      </c>
      <c r="F54" s="4" t="s">
        <v>652</v>
      </c>
      <c r="G54" s="27" t="s">
        <v>73</v>
      </c>
      <c r="H54" s="35">
        <f t="shared" si="10"/>
        <v>24</v>
      </c>
      <c r="I54" s="35">
        <f t="shared" si="14"/>
        <v>56</v>
      </c>
      <c r="J54" s="35">
        <f t="shared" si="12"/>
        <v>56</v>
      </c>
      <c r="K54" s="7">
        <v>1</v>
      </c>
      <c r="L54" s="8">
        <v>8</v>
      </c>
      <c r="M54" s="6" t="s">
        <v>494</v>
      </c>
      <c r="N54" s="6" t="s">
        <v>494</v>
      </c>
      <c r="O54" s="4" t="s">
        <v>273</v>
      </c>
      <c r="P54" s="27"/>
      <c r="Q54" s="72" t="s">
        <v>197</v>
      </c>
      <c r="R54" s="27" t="s">
        <v>141</v>
      </c>
      <c r="S54" s="7">
        <f t="shared" si="9"/>
        <v>7</v>
      </c>
      <c r="T54" s="7">
        <v>7</v>
      </c>
      <c r="U54" s="4" t="s">
        <v>677</v>
      </c>
      <c r="V54" s="7">
        <v>0</v>
      </c>
      <c r="W54" s="4" t="s">
        <v>141</v>
      </c>
      <c r="X54" s="73">
        <f>795-46</f>
        <v>749</v>
      </c>
      <c r="Y54" s="5" t="s">
        <v>1687</v>
      </c>
      <c r="Z54" s="45" t="s">
        <v>423</v>
      </c>
      <c r="AF54" s="3"/>
      <c r="AG54" s="3"/>
      <c r="AH54" s="3"/>
      <c r="AI54" s="3"/>
      <c r="AJ54" s="3"/>
      <c r="AK54" s="31"/>
    </row>
    <row r="55" spans="1:37" ht="73.5" customHeight="1" x14ac:dyDescent="0.25">
      <c r="A55" s="71" t="s">
        <v>1050</v>
      </c>
      <c r="B55" s="28" t="s">
        <v>360</v>
      </c>
      <c r="C55" s="5" t="s">
        <v>1363</v>
      </c>
      <c r="D55" s="4" t="s">
        <v>74</v>
      </c>
      <c r="E55" s="4" t="s">
        <v>119</v>
      </c>
      <c r="F55" s="4" t="s">
        <v>224</v>
      </c>
      <c r="G55" s="27" t="s">
        <v>75</v>
      </c>
      <c r="H55" s="35">
        <f t="shared" si="10"/>
        <v>24</v>
      </c>
      <c r="I55" s="35">
        <f t="shared" si="14"/>
        <v>56</v>
      </c>
      <c r="J55" s="35">
        <f t="shared" si="12"/>
        <v>56</v>
      </c>
      <c r="K55" s="7">
        <v>1</v>
      </c>
      <c r="L55" s="8">
        <v>8</v>
      </c>
      <c r="M55" s="6" t="s">
        <v>494</v>
      </c>
      <c r="N55" s="6" t="s">
        <v>494</v>
      </c>
      <c r="O55" s="4" t="s">
        <v>494</v>
      </c>
      <c r="P55" s="27" t="s">
        <v>76</v>
      </c>
      <c r="Q55" s="72" t="s">
        <v>197</v>
      </c>
      <c r="R55" s="27" t="s">
        <v>141</v>
      </c>
      <c r="S55" s="7">
        <f t="shared" si="9"/>
        <v>7</v>
      </c>
      <c r="T55" s="7">
        <v>7</v>
      </c>
      <c r="U55" s="4" t="s">
        <v>176</v>
      </c>
      <c r="V55" s="7">
        <v>0</v>
      </c>
      <c r="W55" s="4" t="s">
        <v>141</v>
      </c>
      <c r="X55" s="73">
        <v>1135</v>
      </c>
      <c r="Y55" s="5" t="s">
        <v>1687</v>
      </c>
      <c r="AF55" s="3"/>
      <c r="AG55" s="3"/>
      <c r="AH55" s="3"/>
      <c r="AI55" s="3"/>
      <c r="AJ55" s="3"/>
      <c r="AK55" s="31"/>
    </row>
    <row r="56" spans="1:37" ht="57" customHeight="1" x14ac:dyDescent="0.25">
      <c r="A56" s="71" t="s">
        <v>1051</v>
      </c>
      <c r="B56" s="28" t="s">
        <v>360</v>
      </c>
      <c r="C56" s="5" t="s">
        <v>1923</v>
      </c>
      <c r="D56" s="4" t="s">
        <v>759</v>
      </c>
      <c r="E56" s="4" t="s">
        <v>132</v>
      </c>
      <c r="F56" s="4" t="s">
        <v>222</v>
      </c>
      <c r="G56" s="27" t="s">
        <v>77</v>
      </c>
      <c r="H56" s="35">
        <f>6*4</f>
        <v>24</v>
      </c>
      <c r="I56" s="35">
        <f t="shared" si="14"/>
        <v>56</v>
      </c>
      <c r="J56" s="35">
        <v>0</v>
      </c>
      <c r="K56" s="7">
        <v>1</v>
      </c>
      <c r="L56" s="8">
        <v>8</v>
      </c>
      <c r="M56" s="6" t="s">
        <v>494</v>
      </c>
      <c r="N56" s="6" t="s">
        <v>494</v>
      </c>
      <c r="O56" s="4" t="s">
        <v>494</v>
      </c>
      <c r="P56" s="27" t="s">
        <v>78</v>
      </c>
      <c r="Q56" s="72" t="s">
        <v>197</v>
      </c>
      <c r="R56" s="27" t="s">
        <v>141</v>
      </c>
      <c r="S56" s="7">
        <f t="shared" si="9"/>
        <v>4</v>
      </c>
      <c r="T56" s="7">
        <v>4</v>
      </c>
      <c r="U56" s="4" t="s">
        <v>177</v>
      </c>
      <c r="V56" s="7">
        <v>0</v>
      </c>
      <c r="W56" s="4" t="s">
        <v>141</v>
      </c>
      <c r="X56" s="73">
        <v>483</v>
      </c>
      <c r="Y56" s="5" t="s">
        <v>1687</v>
      </c>
      <c r="AF56" s="3"/>
      <c r="AG56" s="3"/>
      <c r="AH56" s="3"/>
      <c r="AI56" s="3"/>
      <c r="AJ56" s="3"/>
      <c r="AK56" s="31"/>
    </row>
    <row r="57" spans="1:37" ht="83.25" customHeight="1" x14ac:dyDescent="0.25">
      <c r="A57" s="71" t="s">
        <v>1052</v>
      </c>
      <c r="B57" s="28" t="s">
        <v>360</v>
      </c>
      <c r="C57" s="5" t="s">
        <v>1363</v>
      </c>
      <c r="D57" s="4" t="s">
        <v>1562</v>
      </c>
      <c r="E57" s="4" t="s">
        <v>1563</v>
      </c>
      <c r="F57" s="4" t="s">
        <v>1560</v>
      </c>
      <c r="G57" s="27" t="s">
        <v>79</v>
      </c>
      <c r="H57" s="35">
        <f>8*4</f>
        <v>32</v>
      </c>
      <c r="I57" s="35">
        <f>12*8-H57</f>
        <v>64</v>
      </c>
      <c r="J57" s="35">
        <f>(2+8+2+4+2)*2*2</f>
        <v>72</v>
      </c>
      <c r="K57" s="7">
        <v>1</v>
      </c>
      <c r="L57" s="8">
        <v>8</v>
      </c>
      <c r="M57" s="6" t="s">
        <v>494</v>
      </c>
      <c r="N57" s="6" t="s">
        <v>494</v>
      </c>
      <c r="O57" s="4" t="s">
        <v>494</v>
      </c>
      <c r="P57" s="27" t="s">
        <v>80</v>
      </c>
      <c r="Q57" s="72" t="s">
        <v>197</v>
      </c>
      <c r="R57" s="27" t="s">
        <v>141</v>
      </c>
      <c r="S57" s="7">
        <f t="shared" si="9"/>
        <v>12</v>
      </c>
      <c r="T57" s="7">
        <v>12</v>
      </c>
      <c r="U57" s="4" t="s">
        <v>178</v>
      </c>
      <c r="V57" s="7">
        <v>0</v>
      </c>
      <c r="W57" s="4" t="s">
        <v>141</v>
      </c>
      <c r="X57" s="73">
        <v>1569</v>
      </c>
      <c r="Y57" s="5" t="s">
        <v>1687</v>
      </c>
      <c r="AF57" s="3"/>
      <c r="AG57" s="3"/>
      <c r="AH57" s="3"/>
      <c r="AI57" s="3"/>
      <c r="AJ57" s="3"/>
      <c r="AK57" s="31"/>
    </row>
    <row r="58" spans="1:37" ht="42" customHeight="1" x14ac:dyDescent="0.25">
      <c r="A58" s="71" t="s">
        <v>1053</v>
      </c>
      <c r="B58" s="28" t="s">
        <v>360</v>
      </c>
      <c r="C58" s="5" t="s">
        <v>1363</v>
      </c>
      <c r="D58" s="4" t="s">
        <v>81</v>
      </c>
      <c r="E58" s="4" t="s">
        <v>121</v>
      </c>
      <c r="F58" s="4" t="s">
        <v>7</v>
      </c>
      <c r="G58" s="27" t="s">
        <v>6</v>
      </c>
      <c r="H58" s="32"/>
      <c r="I58" s="32"/>
      <c r="J58" s="32"/>
      <c r="K58" s="7">
        <v>4</v>
      </c>
      <c r="L58" s="8">
        <v>3</v>
      </c>
      <c r="M58" s="4" t="s">
        <v>144</v>
      </c>
      <c r="N58" s="4" t="s">
        <v>1441</v>
      </c>
      <c r="O58" s="4" t="s">
        <v>144</v>
      </c>
      <c r="P58" s="27" t="s">
        <v>6</v>
      </c>
      <c r="Q58" s="72" t="s">
        <v>197</v>
      </c>
      <c r="R58" s="27" t="s">
        <v>141</v>
      </c>
      <c r="S58" s="7">
        <f t="shared" si="9"/>
        <v>1</v>
      </c>
      <c r="T58" s="7">
        <v>1</v>
      </c>
      <c r="U58" s="4" t="s">
        <v>179</v>
      </c>
      <c r="V58" s="7">
        <v>0</v>
      </c>
      <c r="W58" s="4" t="s">
        <v>141</v>
      </c>
      <c r="X58" s="73">
        <v>186</v>
      </c>
      <c r="Y58" s="5" t="s">
        <v>144</v>
      </c>
      <c r="AF58" s="3"/>
      <c r="AG58" s="3"/>
      <c r="AH58" s="3"/>
      <c r="AI58" s="3"/>
      <c r="AJ58" s="3"/>
      <c r="AK58" s="31"/>
    </row>
    <row r="59" spans="1:37" ht="70.5" customHeight="1" x14ac:dyDescent="0.25">
      <c r="A59" s="71" t="s">
        <v>1054</v>
      </c>
      <c r="B59" s="28" t="s">
        <v>360</v>
      </c>
      <c r="C59" s="5" t="s">
        <v>1363</v>
      </c>
      <c r="D59" s="4" t="s">
        <v>760</v>
      </c>
      <c r="E59" s="4" t="s">
        <v>672</v>
      </c>
      <c r="F59" s="4" t="s">
        <v>724</v>
      </c>
      <c r="G59" s="27" t="s">
        <v>82</v>
      </c>
      <c r="H59" s="35">
        <f>6*4+4*1.1</f>
        <v>28.4</v>
      </c>
      <c r="I59" s="35">
        <f>(10*8+5*8)-H59</f>
        <v>91.6</v>
      </c>
      <c r="J59" s="35">
        <f t="shared" si="12"/>
        <v>56</v>
      </c>
      <c r="K59" s="7">
        <v>1</v>
      </c>
      <c r="L59" s="8">
        <v>8</v>
      </c>
      <c r="M59" s="6" t="s">
        <v>494</v>
      </c>
      <c r="N59" s="6" t="s">
        <v>494</v>
      </c>
      <c r="O59" s="4" t="s">
        <v>494</v>
      </c>
      <c r="P59" s="27" t="s">
        <v>83</v>
      </c>
      <c r="Q59" s="72" t="s">
        <v>197</v>
      </c>
      <c r="R59" s="27" t="s">
        <v>141</v>
      </c>
      <c r="S59" s="7">
        <f t="shared" si="9"/>
        <v>9</v>
      </c>
      <c r="T59" s="7">
        <v>2</v>
      </c>
      <c r="U59" s="4" t="s">
        <v>1810</v>
      </c>
      <c r="V59" s="7">
        <v>7</v>
      </c>
      <c r="W59" s="4" t="s">
        <v>1811</v>
      </c>
      <c r="X59" s="73">
        <v>763</v>
      </c>
      <c r="Y59" s="5" t="s">
        <v>1687</v>
      </c>
      <c r="Z59" s="45" t="s">
        <v>423</v>
      </c>
      <c r="AF59" s="3"/>
      <c r="AG59" s="3"/>
      <c r="AH59" s="3"/>
      <c r="AI59" s="3"/>
      <c r="AJ59" s="3"/>
      <c r="AK59" s="31"/>
    </row>
    <row r="60" spans="1:37" ht="84" customHeight="1" x14ac:dyDescent="0.25">
      <c r="A60" s="71" t="s">
        <v>1055</v>
      </c>
      <c r="B60" s="28" t="s">
        <v>360</v>
      </c>
      <c r="C60" s="5" t="s">
        <v>1363</v>
      </c>
      <c r="D60" s="4" t="s">
        <v>85</v>
      </c>
      <c r="E60" s="4" t="s">
        <v>128</v>
      </c>
      <c r="F60" s="4" t="s">
        <v>652</v>
      </c>
      <c r="G60" s="27" t="s">
        <v>86</v>
      </c>
      <c r="H60" s="35">
        <f t="shared" si="10"/>
        <v>24</v>
      </c>
      <c r="I60" s="35">
        <f t="shared" ref="I60:I61" si="15">10*8-H60</f>
        <v>56</v>
      </c>
      <c r="J60" s="35">
        <f t="shared" si="12"/>
        <v>56</v>
      </c>
      <c r="K60" s="7">
        <v>1</v>
      </c>
      <c r="L60" s="8">
        <v>8</v>
      </c>
      <c r="M60" s="6" t="s">
        <v>494</v>
      </c>
      <c r="N60" s="6" t="s">
        <v>494</v>
      </c>
      <c r="O60" s="4" t="s">
        <v>494</v>
      </c>
      <c r="P60" s="27" t="s">
        <v>87</v>
      </c>
      <c r="Q60" s="72" t="s">
        <v>197</v>
      </c>
      <c r="R60" s="27" t="s">
        <v>141</v>
      </c>
      <c r="S60" s="7">
        <f t="shared" si="9"/>
        <v>5</v>
      </c>
      <c r="T60" s="7">
        <v>5</v>
      </c>
      <c r="U60" s="4" t="s">
        <v>1421</v>
      </c>
      <c r="V60" s="7">
        <v>0</v>
      </c>
      <c r="W60" s="4" t="s">
        <v>141</v>
      </c>
      <c r="X60" s="73">
        <v>1166</v>
      </c>
      <c r="Y60" s="5" t="s">
        <v>1687</v>
      </c>
      <c r="AF60" s="3"/>
      <c r="AG60" s="3"/>
      <c r="AH60" s="3"/>
      <c r="AI60" s="3"/>
      <c r="AJ60" s="3"/>
      <c r="AK60" s="31"/>
    </row>
    <row r="61" spans="1:37" ht="84" customHeight="1" x14ac:dyDescent="0.25">
      <c r="A61" s="71" t="s">
        <v>1056</v>
      </c>
      <c r="B61" s="28" t="s">
        <v>360</v>
      </c>
      <c r="C61" s="5" t="s">
        <v>1363</v>
      </c>
      <c r="D61" s="4" t="s">
        <v>761</v>
      </c>
      <c r="E61" s="4" t="s">
        <v>119</v>
      </c>
      <c r="F61" s="4" t="s">
        <v>224</v>
      </c>
      <c r="G61" s="27" t="s">
        <v>92</v>
      </c>
      <c r="H61" s="35">
        <f t="shared" si="10"/>
        <v>24</v>
      </c>
      <c r="I61" s="35">
        <f t="shared" si="15"/>
        <v>56</v>
      </c>
      <c r="J61" s="35">
        <f t="shared" si="12"/>
        <v>56</v>
      </c>
      <c r="K61" s="7">
        <v>1</v>
      </c>
      <c r="L61" s="8">
        <v>8</v>
      </c>
      <c r="M61" s="6" t="s">
        <v>494</v>
      </c>
      <c r="N61" s="6" t="s">
        <v>494</v>
      </c>
      <c r="O61" s="4" t="s">
        <v>494</v>
      </c>
      <c r="P61" s="27" t="s">
        <v>2190</v>
      </c>
      <c r="Q61" s="72" t="s">
        <v>197</v>
      </c>
      <c r="R61" s="27" t="s">
        <v>141</v>
      </c>
      <c r="S61" s="7">
        <f t="shared" si="9"/>
        <v>6</v>
      </c>
      <c r="T61" s="7">
        <v>6</v>
      </c>
      <c r="U61" s="4" t="s">
        <v>180</v>
      </c>
      <c r="V61" s="7">
        <v>0</v>
      </c>
      <c r="W61" s="4" t="s">
        <v>141</v>
      </c>
      <c r="X61" s="73">
        <v>1112</v>
      </c>
      <c r="Y61" s="5" t="s">
        <v>1687</v>
      </c>
      <c r="AF61" s="3"/>
      <c r="AG61" s="3"/>
      <c r="AH61" s="3"/>
      <c r="AI61" s="3"/>
      <c r="AJ61" s="3"/>
      <c r="AK61" s="31"/>
    </row>
    <row r="62" spans="1:37" ht="83.25" customHeight="1" x14ac:dyDescent="0.25">
      <c r="A62" s="71" t="s">
        <v>1057</v>
      </c>
      <c r="B62" s="28" t="s">
        <v>360</v>
      </c>
      <c r="C62" s="5" t="s">
        <v>1363</v>
      </c>
      <c r="D62" s="4" t="s">
        <v>1564</v>
      </c>
      <c r="E62" s="4" t="s">
        <v>763</v>
      </c>
      <c r="F62" s="4" t="s">
        <v>1560</v>
      </c>
      <c r="G62" s="27" t="s">
        <v>84</v>
      </c>
      <c r="H62" s="35">
        <f>8*4</f>
        <v>32</v>
      </c>
      <c r="I62" s="35"/>
      <c r="J62" s="35">
        <f>(2+8+2+4+2)*2*2</f>
        <v>72</v>
      </c>
      <c r="K62" s="7">
        <v>1</v>
      </c>
      <c r="L62" s="8">
        <v>8</v>
      </c>
      <c r="M62" s="6" t="s">
        <v>494</v>
      </c>
      <c r="N62" s="6" t="s">
        <v>494</v>
      </c>
      <c r="O62" s="4" t="s">
        <v>494</v>
      </c>
      <c r="P62" s="27" t="s">
        <v>116</v>
      </c>
      <c r="Q62" s="72" t="s">
        <v>197</v>
      </c>
      <c r="R62" s="27" t="s">
        <v>141</v>
      </c>
      <c r="S62" s="7">
        <f t="shared" si="9"/>
        <v>8</v>
      </c>
      <c r="T62" s="7">
        <v>8</v>
      </c>
      <c r="U62" s="4" t="s">
        <v>1422</v>
      </c>
      <c r="V62" s="7">
        <v>0</v>
      </c>
      <c r="W62" s="4" t="s">
        <v>141</v>
      </c>
      <c r="X62" s="73">
        <v>1289</v>
      </c>
      <c r="Y62" s="5" t="s">
        <v>1687</v>
      </c>
      <c r="AF62" s="3"/>
      <c r="AG62" s="3"/>
      <c r="AH62" s="3"/>
      <c r="AI62" s="3"/>
      <c r="AJ62" s="3"/>
      <c r="AK62" s="31"/>
    </row>
    <row r="63" spans="1:37" ht="76.5" customHeight="1" x14ac:dyDescent="0.25">
      <c r="A63" s="71" t="s">
        <v>1058</v>
      </c>
      <c r="B63" s="28" t="s">
        <v>360</v>
      </c>
      <c r="C63" s="5" t="s">
        <v>1363</v>
      </c>
      <c r="D63" s="4" t="s">
        <v>88</v>
      </c>
      <c r="E63" s="4" t="s">
        <v>673</v>
      </c>
      <c r="F63" s="4" t="s">
        <v>652</v>
      </c>
      <c r="G63" s="27" t="s">
        <v>90</v>
      </c>
      <c r="H63" s="35">
        <f t="shared" si="10"/>
        <v>24</v>
      </c>
      <c r="I63" s="35">
        <f>10*8-H63</f>
        <v>56</v>
      </c>
      <c r="J63" s="35">
        <f t="shared" si="12"/>
        <v>56</v>
      </c>
      <c r="K63" s="7">
        <v>1</v>
      </c>
      <c r="L63" s="8">
        <v>8</v>
      </c>
      <c r="M63" s="6" t="s">
        <v>494</v>
      </c>
      <c r="N63" s="6" t="s">
        <v>494</v>
      </c>
      <c r="O63" s="4" t="s">
        <v>273</v>
      </c>
      <c r="P63" s="27"/>
      <c r="Q63" s="72" t="s">
        <v>197</v>
      </c>
      <c r="R63" s="27" t="s">
        <v>141</v>
      </c>
      <c r="S63" s="7">
        <f t="shared" si="9"/>
        <v>2</v>
      </c>
      <c r="T63" s="7">
        <v>2</v>
      </c>
      <c r="U63" s="4" t="s">
        <v>181</v>
      </c>
      <c r="V63" s="7">
        <v>0</v>
      </c>
      <c r="W63" s="4" t="s">
        <v>141</v>
      </c>
      <c r="X63" s="73">
        <v>302</v>
      </c>
      <c r="Y63" s="5" t="s">
        <v>1687</v>
      </c>
      <c r="Z63" s="45" t="s">
        <v>423</v>
      </c>
      <c r="AF63" s="3"/>
      <c r="AG63" s="3"/>
      <c r="AH63" s="3"/>
      <c r="AI63" s="3"/>
      <c r="AJ63" s="3"/>
      <c r="AK63" s="31"/>
    </row>
    <row r="64" spans="1:37" ht="76.5" customHeight="1" x14ac:dyDescent="0.3">
      <c r="A64" s="71" t="s">
        <v>1059</v>
      </c>
      <c r="B64" s="28" t="s">
        <v>360</v>
      </c>
      <c r="C64" s="5" t="s">
        <v>1363</v>
      </c>
      <c r="D64" s="4" t="s">
        <v>741</v>
      </c>
      <c r="E64" s="4" t="s">
        <v>673</v>
      </c>
      <c r="F64" s="4" t="s">
        <v>725</v>
      </c>
      <c r="G64" s="27" t="s">
        <v>93</v>
      </c>
      <c r="H64" s="35">
        <f>13.5*2</f>
        <v>27</v>
      </c>
      <c r="I64" s="35">
        <f>17.5*6-H64</f>
        <v>78</v>
      </c>
      <c r="J64" s="35">
        <f>(2+13.5+2+2)*1.6*2</f>
        <v>62.400000000000006</v>
      </c>
      <c r="K64" s="7">
        <v>5</v>
      </c>
      <c r="L64" s="8">
        <v>5.5</v>
      </c>
      <c r="M64" s="6" t="s">
        <v>494</v>
      </c>
      <c r="N64" s="6" t="s">
        <v>494</v>
      </c>
      <c r="O64" s="4" t="s">
        <v>1974</v>
      </c>
      <c r="P64" s="27" t="s">
        <v>2191</v>
      </c>
      <c r="Q64" s="72" t="s">
        <v>197</v>
      </c>
      <c r="R64" s="27" t="s">
        <v>141</v>
      </c>
      <c r="S64" s="7">
        <f t="shared" si="9"/>
        <v>5</v>
      </c>
      <c r="T64" s="7">
        <v>5</v>
      </c>
      <c r="U64" s="4" t="s">
        <v>182</v>
      </c>
      <c r="V64" s="7">
        <v>0</v>
      </c>
      <c r="W64" s="4" t="s">
        <v>141</v>
      </c>
      <c r="X64" s="73">
        <v>1174</v>
      </c>
      <c r="Y64" s="5" t="s">
        <v>1687</v>
      </c>
      <c r="Z64" s="45" t="s">
        <v>423</v>
      </c>
      <c r="AA64" s="125" t="s">
        <v>674</v>
      </c>
      <c r="AB64" s="125"/>
      <c r="AC64" s="125"/>
      <c r="AD64" s="125"/>
      <c r="AE64" s="125"/>
      <c r="AF64" s="3"/>
      <c r="AG64" s="3"/>
      <c r="AH64" s="3"/>
      <c r="AI64" s="3"/>
      <c r="AJ64" s="3"/>
      <c r="AK64" s="31"/>
    </row>
    <row r="65" spans="1:37" ht="110.25" x14ac:dyDescent="0.25">
      <c r="A65" s="71" t="s">
        <v>1060</v>
      </c>
      <c r="B65" s="28" t="s">
        <v>360</v>
      </c>
      <c r="C65" s="5" t="s">
        <v>1363</v>
      </c>
      <c r="D65" s="4" t="s">
        <v>89</v>
      </c>
      <c r="E65" s="4" t="s">
        <v>119</v>
      </c>
      <c r="F65" s="4" t="s">
        <v>656</v>
      </c>
      <c r="G65" s="27" t="s">
        <v>91</v>
      </c>
      <c r="H65" s="35">
        <f>6*4+1.1*4</f>
        <v>28.4</v>
      </c>
      <c r="I65" s="35">
        <f>(10*8+5*8)-H65</f>
        <v>91.6</v>
      </c>
      <c r="J65" s="35">
        <f t="shared" si="12"/>
        <v>56</v>
      </c>
      <c r="K65" s="7">
        <v>1</v>
      </c>
      <c r="L65" s="8">
        <v>8</v>
      </c>
      <c r="M65" s="6" t="s">
        <v>494</v>
      </c>
      <c r="N65" s="6" t="s">
        <v>494</v>
      </c>
      <c r="O65" s="4" t="s">
        <v>494</v>
      </c>
      <c r="P65" s="27" t="s">
        <v>94</v>
      </c>
      <c r="Q65" s="72" t="s">
        <v>197</v>
      </c>
      <c r="R65" s="27" t="s">
        <v>141</v>
      </c>
      <c r="S65" s="7">
        <f t="shared" si="9"/>
        <v>6</v>
      </c>
      <c r="T65" s="7">
        <v>6</v>
      </c>
      <c r="U65" s="4" t="s">
        <v>183</v>
      </c>
      <c r="V65" s="7">
        <v>0</v>
      </c>
      <c r="W65" s="4" t="s">
        <v>141</v>
      </c>
      <c r="X65" s="73">
        <v>1072</v>
      </c>
      <c r="Y65" s="5" t="s">
        <v>1687</v>
      </c>
      <c r="AF65" s="3"/>
      <c r="AG65" s="3"/>
      <c r="AH65" s="3"/>
      <c r="AI65" s="3"/>
      <c r="AJ65" s="3"/>
      <c r="AK65" s="31"/>
    </row>
    <row r="66" spans="1:37" ht="110.25" x14ac:dyDescent="0.25">
      <c r="A66" s="71" t="s">
        <v>1061</v>
      </c>
      <c r="B66" s="28" t="s">
        <v>360</v>
      </c>
      <c r="C66" s="5" t="s">
        <v>1363</v>
      </c>
      <c r="D66" s="4" t="s">
        <v>762</v>
      </c>
      <c r="E66" s="4" t="s">
        <v>715</v>
      </c>
      <c r="F66" s="4" t="s">
        <v>659</v>
      </c>
      <c r="G66" s="27" t="s">
        <v>6</v>
      </c>
      <c r="H66" s="35">
        <f>4.5*2</f>
        <v>9</v>
      </c>
      <c r="I66" s="35">
        <f>8.5*6-H66</f>
        <v>42</v>
      </c>
      <c r="J66" s="35">
        <f>(2+4.5+2)*1.6*2</f>
        <v>27.200000000000003</v>
      </c>
      <c r="K66" s="7">
        <v>2</v>
      </c>
      <c r="L66" s="8">
        <v>2.2000000000000002</v>
      </c>
      <c r="M66" s="6" t="s">
        <v>494</v>
      </c>
      <c r="N66" s="6" t="s">
        <v>494</v>
      </c>
      <c r="O66" s="4" t="s">
        <v>1974</v>
      </c>
      <c r="P66" s="27" t="s">
        <v>2192</v>
      </c>
      <c r="Q66" s="72" t="s">
        <v>197</v>
      </c>
      <c r="R66" s="27" t="s">
        <v>141</v>
      </c>
      <c r="S66" s="7">
        <f t="shared" si="9"/>
        <v>2</v>
      </c>
      <c r="T66" s="7">
        <v>2</v>
      </c>
      <c r="U66" s="4" t="s">
        <v>184</v>
      </c>
      <c r="V66" s="7">
        <v>0</v>
      </c>
      <c r="W66" s="4" t="s">
        <v>141</v>
      </c>
      <c r="X66" s="73">
        <v>435</v>
      </c>
      <c r="Y66" s="5" t="s">
        <v>1687</v>
      </c>
      <c r="Z66" s="45" t="s">
        <v>425</v>
      </c>
      <c r="AF66" s="3"/>
      <c r="AG66" s="3"/>
      <c r="AH66" s="3"/>
      <c r="AI66" s="3"/>
      <c r="AJ66" s="3"/>
      <c r="AK66" s="31"/>
    </row>
    <row r="67" spans="1:37" ht="110.25" x14ac:dyDescent="0.25">
      <c r="A67" s="71" t="s">
        <v>1062</v>
      </c>
      <c r="B67" s="28" t="s">
        <v>360</v>
      </c>
      <c r="C67" s="5" t="s">
        <v>1363</v>
      </c>
      <c r="D67" s="4" t="s">
        <v>290</v>
      </c>
      <c r="E67" s="4" t="s">
        <v>291</v>
      </c>
      <c r="F67" s="4" t="s">
        <v>293</v>
      </c>
      <c r="G67" s="27"/>
      <c r="H67" s="32"/>
      <c r="I67" s="32"/>
      <c r="J67" s="32"/>
      <c r="K67" s="7">
        <v>1</v>
      </c>
      <c r="L67" s="8">
        <v>6</v>
      </c>
      <c r="M67" s="6" t="s">
        <v>301</v>
      </c>
      <c r="N67" s="6" t="s">
        <v>1442</v>
      </c>
      <c r="O67" s="4" t="s">
        <v>494</v>
      </c>
      <c r="P67" s="27"/>
      <c r="Q67" s="72">
        <v>0</v>
      </c>
      <c r="R67" s="27" t="s">
        <v>141</v>
      </c>
      <c r="S67" s="7">
        <f t="shared" si="9"/>
        <v>2</v>
      </c>
      <c r="T67" s="7">
        <v>2</v>
      </c>
      <c r="U67" s="4" t="s">
        <v>292</v>
      </c>
      <c r="V67" s="7">
        <v>0</v>
      </c>
      <c r="W67" s="4" t="s">
        <v>141</v>
      </c>
      <c r="X67" s="73">
        <v>800</v>
      </c>
      <c r="Y67" s="5" t="s">
        <v>301</v>
      </c>
      <c r="AF67" s="3"/>
      <c r="AG67" s="3"/>
      <c r="AH67" s="3"/>
      <c r="AI67" s="3"/>
      <c r="AJ67" s="3"/>
      <c r="AK67" s="31"/>
    </row>
    <row r="68" spans="1:37" ht="141.75" x14ac:dyDescent="0.25">
      <c r="A68" s="71" t="s">
        <v>1063</v>
      </c>
      <c r="B68" s="28" t="s">
        <v>360</v>
      </c>
      <c r="C68" s="5" t="s">
        <v>1363</v>
      </c>
      <c r="D68" s="4" t="s">
        <v>96</v>
      </c>
      <c r="E68" s="4" t="s">
        <v>128</v>
      </c>
      <c r="F68" s="4" t="s">
        <v>652</v>
      </c>
      <c r="G68" s="27" t="s">
        <v>39</v>
      </c>
      <c r="H68" s="35">
        <f t="shared" ref="H68" si="16">6*4</f>
        <v>24</v>
      </c>
      <c r="I68" s="35">
        <f>10*8-H68</f>
        <v>56</v>
      </c>
      <c r="J68" s="35">
        <f t="shared" ref="J68" si="17">(4+6+4)*2*2</f>
        <v>56</v>
      </c>
      <c r="K68" s="7">
        <v>1</v>
      </c>
      <c r="L68" s="8">
        <v>8</v>
      </c>
      <c r="M68" s="6" t="s">
        <v>494</v>
      </c>
      <c r="N68" s="6" t="s">
        <v>494</v>
      </c>
      <c r="O68" s="4" t="s">
        <v>2193</v>
      </c>
      <c r="P68" s="27" t="s">
        <v>2194</v>
      </c>
      <c r="Q68" s="72" t="s">
        <v>197</v>
      </c>
      <c r="R68" s="27" t="s">
        <v>141</v>
      </c>
      <c r="S68" s="7">
        <f t="shared" si="9"/>
        <v>13</v>
      </c>
      <c r="T68" s="7">
        <v>9</v>
      </c>
      <c r="U68" s="4" t="s">
        <v>186</v>
      </c>
      <c r="V68" s="7">
        <v>4</v>
      </c>
      <c r="W68" s="4" t="s">
        <v>203</v>
      </c>
      <c r="X68" s="73">
        <v>264</v>
      </c>
      <c r="Y68" s="5" t="s">
        <v>1687</v>
      </c>
      <c r="AF68" s="3"/>
      <c r="AG68" s="3"/>
      <c r="AH68" s="3"/>
      <c r="AI68" s="3"/>
      <c r="AJ68" s="3"/>
      <c r="AK68" s="31"/>
    </row>
    <row r="69" spans="1:37" ht="110.25" x14ac:dyDescent="0.25">
      <c r="A69" s="71" t="s">
        <v>1064</v>
      </c>
      <c r="B69" s="28" t="s">
        <v>360</v>
      </c>
      <c r="C69" s="5" t="s">
        <v>1363</v>
      </c>
      <c r="D69" s="4" t="s">
        <v>1654</v>
      </c>
      <c r="E69" s="4" t="s">
        <v>119</v>
      </c>
      <c r="F69" s="4" t="s">
        <v>225</v>
      </c>
      <c r="G69" s="27" t="s">
        <v>95</v>
      </c>
      <c r="H69" s="35">
        <f>8*4</f>
        <v>32</v>
      </c>
      <c r="I69" s="35">
        <f>12*8-H69</f>
        <v>64</v>
      </c>
      <c r="J69" s="35">
        <f>(4+8+4)*2*2</f>
        <v>64</v>
      </c>
      <c r="K69" s="7">
        <v>2</v>
      </c>
      <c r="L69" s="8">
        <v>16</v>
      </c>
      <c r="M69" s="6" t="s">
        <v>494</v>
      </c>
      <c r="N69" s="6" t="s">
        <v>1636</v>
      </c>
      <c r="O69" s="4" t="s">
        <v>494</v>
      </c>
      <c r="P69" s="27" t="s">
        <v>1637</v>
      </c>
      <c r="Q69" s="72" t="s">
        <v>197</v>
      </c>
      <c r="R69" s="27" t="s">
        <v>141</v>
      </c>
      <c r="S69" s="7">
        <f t="shared" si="9"/>
        <v>13</v>
      </c>
      <c r="T69" s="7">
        <v>13</v>
      </c>
      <c r="U69" s="4" t="s">
        <v>185</v>
      </c>
      <c r="V69" s="7">
        <v>0</v>
      </c>
      <c r="W69" s="4" t="s">
        <v>141</v>
      </c>
      <c r="X69" s="73">
        <v>697</v>
      </c>
      <c r="Y69" s="5" t="s">
        <v>1687</v>
      </c>
      <c r="AF69" s="3"/>
      <c r="AG69" s="3"/>
      <c r="AH69" s="3"/>
      <c r="AI69" s="3"/>
      <c r="AJ69" s="3"/>
      <c r="AK69" s="31"/>
    </row>
    <row r="70" spans="1:37" ht="138.75" customHeight="1" x14ac:dyDescent="0.25">
      <c r="A70" s="71" t="s">
        <v>1065</v>
      </c>
      <c r="B70" s="28" t="s">
        <v>360</v>
      </c>
      <c r="C70" s="5" t="s">
        <v>1363</v>
      </c>
      <c r="D70" s="4" t="s">
        <v>1655</v>
      </c>
      <c r="E70" s="4" t="s">
        <v>133</v>
      </c>
      <c r="F70" s="4" t="s">
        <v>224</v>
      </c>
      <c r="G70" s="27" t="s">
        <v>6</v>
      </c>
      <c r="H70" s="35">
        <f>6*4</f>
        <v>24</v>
      </c>
      <c r="I70" s="35">
        <f>10*8-H70</f>
        <v>56</v>
      </c>
      <c r="J70" s="35">
        <f>(4+6+4)*2*2</f>
        <v>56</v>
      </c>
      <c r="K70" s="7">
        <v>3</v>
      </c>
      <c r="L70" s="8">
        <v>24</v>
      </c>
      <c r="M70" s="6" t="s">
        <v>494</v>
      </c>
      <c r="N70" s="6" t="s">
        <v>494</v>
      </c>
      <c r="O70" s="4" t="s">
        <v>1976</v>
      </c>
      <c r="P70" s="27" t="s">
        <v>2195</v>
      </c>
      <c r="Q70" s="72" t="s">
        <v>197</v>
      </c>
      <c r="R70" s="27" t="s">
        <v>141</v>
      </c>
      <c r="S70" s="7">
        <f t="shared" si="9"/>
        <v>300</v>
      </c>
      <c r="T70" s="7">
        <v>0</v>
      </c>
      <c r="U70" s="4" t="s">
        <v>141</v>
      </c>
      <c r="V70" s="7">
        <v>300</v>
      </c>
      <c r="W70" s="4" t="s">
        <v>204</v>
      </c>
      <c r="X70" s="73">
        <v>0</v>
      </c>
      <c r="Y70" s="5" t="s">
        <v>714</v>
      </c>
      <c r="AF70" s="3"/>
      <c r="AG70" s="3"/>
      <c r="AH70" s="3"/>
      <c r="AI70" s="3"/>
      <c r="AJ70" s="3"/>
      <c r="AK70" s="31"/>
    </row>
    <row r="71" spans="1:37" ht="84" customHeight="1" x14ac:dyDescent="0.25">
      <c r="A71" s="71" t="s">
        <v>1066</v>
      </c>
      <c r="B71" s="28" t="s">
        <v>360</v>
      </c>
      <c r="C71" s="5" t="s">
        <v>1363</v>
      </c>
      <c r="D71" s="4" t="s">
        <v>97</v>
      </c>
      <c r="E71" s="4" t="s">
        <v>128</v>
      </c>
      <c r="F71" s="4" t="s">
        <v>224</v>
      </c>
      <c r="G71" s="27" t="s">
        <v>60</v>
      </c>
      <c r="H71" s="35">
        <f>6*4</f>
        <v>24</v>
      </c>
      <c r="I71" s="35">
        <f>10*8-H71</f>
        <v>56</v>
      </c>
      <c r="J71" s="35">
        <f>6*2*2</f>
        <v>24</v>
      </c>
      <c r="K71" s="7">
        <v>1</v>
      </c>
      <c r="L71" s="8">
        <v>8</v>
      </c>
      <c r="M71" s="6" t="s">
        <v>494</v>
      </c>
      <c r="N71" s="6" t="s">
        <v>494</v>
      </c>
      <c r="O71" s="4" t="s">
        <v>273</v>
      </c>
      <c r="P71" s="27" t="s">
        <v>6</v>
      </c>
      <c r="Q71" s="72" t="s">
        <v>197</v>
      </c>
      <c r="R71" s="27" t="s">
        <v>141</v>
      </c>
      <c r="S71" s="7">
        <f t="shared" si="9"/>
        <v>12</v>
      </c>
      <c r="T71" s="7">
        <v>7</v>
      </c>
      <c r="U71" s="4" t="s">
        <v>187</v>
      </c>
      <c r="V71" s="7">
        <v>5</v>
      </c>
      <c r="W71" s="4" t="s">
        <v>202</v>
      </c>
      <c r="X71" s="73">
        <v>669</v>
      </c>
      <c r="Y71" s="5" t="s">
        <v>1687</v>
      </c>
      <c r="AF71" s="3"/>
      <c r="AG71" s="3"/>
      <c r="AH71" s="3"/>
      <c r="AI71" s="3"/>
      <c r="AJ71" s="3"/>
      <c r="AK71" s="31"/>
    </row>
    <row r="72" spans="1:37" ht="54" customHeight="1" x14ac:dyDescent="0.25">
      <c r="A72" s="71" t="s">
        <v>1067</v>
      </c>
      <c r="B72" s="28" t="s">
        <v>360</v>
      </c>
      <c r="C72" s="5" t="s">
        <v>1363</v>
      </c>
      <c r="D72" s="4" t="s">
        <v>1920</v>
      </c>
      <c r="E72" s="4" t="s">
        <v>119</v>
      </c>
      <c r="F72" s="4" t="s">
        <v>659</v>
      </c>
      <c r="G72" s="27" t="s">
        <v>98</v>
      </c>
      <c r="H72" s="35">
        <f>4.5*2</f>
        <v>9</v>
      </c>
      <c r="I72" s="35">
        <f>8.5*6-H72</f>
        <v>42</v>
      </c>
      <c r="J72" s="35">
        <f>(2+4.5+2)*1.6*2</f>
        <v>27.200000000000003</v>
      </c>
      <c r="K72" s="7">
        <v>3</v>
      </c>
      <c r="L72" s="8">
        <v>3.3</v>
      </c>
      <c r="M72" s="6" t="s">
        <v>494</v>
      </c>
      <c r="N72" s="6" t="s">
        <v>494</v>
      </c>
      <c r="O72" s="4" t="s">
        <v>1974</v>
      </c>
      <c r="P72" s="27" t="s">
        <v>745</v>
      </c>
      <c r="Q72" s="72" t="s">
        <v>197</v>
      </c>
      <c r="R72" s="27" t="s">
        <v>141</v>
      </c>
      <c r="S72" s="7">
        <f t="shared" si="9"/>
        <v>11</v>
      </c>
      <c r="T72" s="7">
        <v>7</v>
      </c>
      <c r="U72" s="4" t="s">
        <v>188</v>
      </c>
      <c r="V72" s="7">
        <f>2+2</f>
        <v>4</v>
      </c>
      <c r="W72" s="4" t="s">
        <v>196</v>
      </c>
      <c r="X72" s="73">
        <v>207</v>
      </c>
      <c r="Y72" s="5" t="s">
        <v>714</v>
      </c>
      <c r="Z72" s="45" t="s">
        <v>425</v>
      </c>
      <c r="AF72" s="3"/>
      <c r="AG72" s="3"/>
      <c r="AH72" s="3"/>
      <c r="AI72" s="3"/>
      <c r="AJ72" s="3"/>
      <c r="AK72" s="31"/>
    </row>
    <row r="73" spans="1:37" ht="61.5" customHeight="1" x14ac:dyDescent="0.25">
      <c r="A73" s="71" t="s">
        <v>1068</v>
      </c>
      <c r="B73" s="28" t="s">
        <v>360</v>
      </c>
      <c r="C73" s="5" t="s">
        <v>1363</v>
      </c>
      <c r="D73" s="4" t="s">
        <v>1969</v>
      </c>
      <c r="E73" s="4" t="s">
        <v>119</v>
      </c>
      <c r="F73" s="4" t="s">
        <v>222</v>
      </c>
      <c r="G73" s="27" t="s">
        <v>6</v>
      </c>
      <c r="H73" s="35">
        <f>6*4</f>
        <v>24</v>
      </c>
      <c r="I73" s="35">
        <f t="shared" ref="I73:I75" si="18">10*8-H73</f>
        <v>56</v>
      </c>
      <c r="J73" s="35">
        <v>0</v>
      </c>
      <c r="K73" s="7">
        <v>1</v>
      </c>
      <c r="L73" s="8">
        <v>8</v>
      </c>
      <c r="M73" s="6" t="s">
        <v>494</v>
      </c>
      <c r="N73" s="6" t="s">
        <v>494</v>
      </c>
      <c r="O73" s="4" t="s">
        <v>494</v>
      </c>
      <c r="P73" s="27" t="s">
        <v>100</v>
      </c>
      <c r="Q73" s="72" t="s">
        <v>197</v>
      </c>
      <c r="R73" s="27" t="s">
        <v>141</v>
      </c>
      <c r="S73" s="7">
        <f t="shared" ref="S73:S83" si="19">T73+V73</f>
        <v>41</v>
      </c>
      <c r="T73" s="7">
        <v>8</v>
      </c>
      <c r="U73" s="4" t="s">
        <v>1970</v>
      </c>
      <c r="V73" s="7">
        <f>9+4+9+11</f>
        <v>33</v>
      </c>
      <c r="W73" s="4" t="s">
        <v>195</v>
      </c>
      <c r="X73" s="73">
        <v>354</v>
      </c>
      <c r="Y73" s="5" t="s">
        <v>714</v>
      </c>
      <c r="AF73" s="3"/>
      <c r="AG73" s="3"/>
      <c r="AH73" s="3"/>
      <c r="AI73" s="3"/>
      <c r="AJ73" s="3"/>
      <c r="AK73" s="31"/>
    </row>
    <row r="74" spans="1:37" ht="66" customHeight="1" x14ac:dyDescent="0.25">
      <c r="A74" s="71" t="s">
        <v>1069</v>
      </c>
      <c r="B74" s="28" t="s">
        <v>360</v>
      </c>
      <c r="C74" s="5" t="s">
        <v>1363</v>
      </c>
      <c r="D74" s="4" t="s">
        <v>101</v>
      </c>
      <c r="E74" s="4" t="s">
        <v>119</v>
      </c>
      <c r="F74" s="4" t="s">
        <v>652</v>
      </c>
      <c r="G74" s="27" t="s">
        <v>99</v>
      </c>
      <c r="H74" s="35">
        <f>6*4</f>
        <v>24</v>
      </c>
      <c r="I74" s="35">
        <f t="shared" si="18"/>
        <v>56</v>
      </c>
      <c r="J74" s="35">
        <f>(4+6+4)*2*2</f>
        <v>56</v>
      </c>
      <c r="K74" s="7">
        <v>1</v>
      </c>
      <c r="L74" s="8">
        <v>8</v>
      </c>
      <c r="M74" s="6" t="s">
        <v>494</v>
      </c>
      <c r="N74" s="6" t="s">
        <v>494</v>
      </c>
      <c r="O74" s="4" t="s">
        <v>494</v>
      </c>
      <c r="P74" s="27" t="s">
        <v>106</v>
      </c>
      <c r="Q74" s="72" t="s">
        <v>197</v>
      </c>
      <c r="R74" s="27" t="s">
        <v>141</v>
      </c>
      <c r="S74" s="7">
        <f t="shared" si="19"/>
        <v>49</v>
      </c>
      <c r="T74" s="7">
        <v>5</v>
      </c>
      <c r="U74" s="4" t="s">
        <v>189</v>
      </c>
      <c r="V74" s="7">
        <f>16+8+7+10+2+1</f>
        <v>44</v>
      </c>
      <c r="W74" s="4" t="s">
        <v>194</v>
      </c>
      <c r="X74" s="73">
        <v>140</v>
      </c>
      <c r="Y74" s="5" t="s">
        <v>714</v>
      </c>
      <c r="AF74" s="3"/>
      <c r="AG74" s="3"/>
      <c r="AH74" s="3"/>
      <c r="AI74" s="3"/>
      <c r="AJ74" s="3"/>
      <c r="AK74" s="31"/>
    </row>
    <row r="75" spans="1:37" ht="138" customHeight="1" x14ac:dyDescent="0.25">
      <c r="A75" s="71" t="s">
        <v>1070</v>
      </c>
      <c r="B75" s="28" t="s">
        <v>360</v>
      </c>
      <c r="C75" s="5" t="s">
        <v>1363</v>
      </c>
      <c r="D75" s="4" t="s">
        <v>764</v>
      </c>
      <c r="E75" s="4" t="s">
        <v>666</v>
      </c>
      <c r="F75" s="4" t="s">
        <v>657</v>
      </c>
      <c r="G75" s="27" t="s">
        <v>102</v>
      </c>
      <c r="H75" s="35">
        <f>6*4</f>
        <v>24</v>
      </c>
      <c r="I75" s="35">
        <f t="shared" si="18"/>
        <v>56</v>
      </c>
      <c r="J75" s="35">
        <f>(4+6+4)*2*2</f>
        <v>56</v>
      </c>
      <c r="K75" s="7">
        <v>1</v>
      </c>
      <c r="L75" s="8">
        <v>8</v>
      </c>
      <c r="M75" s="6" t="s">
        <v>494</v>
      </c>
      <c r="N75" s="6" t="s">
        <v>494</v>
      </c>
      <c r="O75" s="4" t="s">
        <v>494</v>
      </c>
      <c r="P75" s="27" t="s">
        <v>107</v>
      </c>
      <c r="Q75" s="72" t="s">
        <v>197</v>
      </c>
      <c r="R75" s="27" t="s">
        <v>141</v>
      </c>
      <c r="S75" s="7">
        <f t="shared" si="19"/>
        <v>176</v>
      </c>
      <c r="T75" s="7">
        <v>0</v>
      </c>
      <c r="U75" s="4" t="s">
        <v>141</v>
      </c>
      <c r="V75" s="7">
        <f>21+3+4+5+13+19+16+13+10+11+28+7+16+10</f>
        <v>176</v>
      </c>
      <c r="W75" s="4" t="s">
        <v>1426</v>
      </c>
      <c r="X75" s="73">
        <v>0</v>
      </c>
      <c r="Y75" s="5" t="s">
        <v>714</v>
      </c>
      <c r="Z75" s="45" t="s">
        <v>424</v>
      </c>
      <c r="AF75" s="3"/>
      <c r="AG75" s="3"/>
      <c r="AH75" s="3"/>
      <c r="AI75" s="3"/>
      <c r="AJ75" s="3"/>
      <c r="AK75" s="31"/>
    </row>
    <row r="76" spans="1:37" ht="61.5" customHeight="1" x14ac:dyDescent="0.4">
      <c r="A76" s="71" t="s">
        <v>1071</v>
      </c>
      <c r="B76" s="28" t="s">
        <v>360</v>
      </c>
      <c r="C76" s="5" t="s">
        <v>1363</v>
      </c>
      <c r="D76" s="4" t="s">
        <v>765</v>
      </c>
      <c r="E76" s="4" t="s">
        <v>667</v>
      </c>
      <c r="F76" s="4" t="s">
        <v>658</v>
      </c>
      <c r="G76" s="27" t="s">
        <v>103</v>
      </c>
      <c r="H76" s="35">
        <f>6*2</f>
        <v>12</v>
      </c>
      <c r="I76" s="35">
        <f>10*6-H76</f>
        <v>48</v>
      </c>
      <c r="J76" s="35">
        <f>(2+6+2+2)*1.6*2</f>
        <v>38.400000000000006</v>
      </c>
      <c r="K76" s="7">
        <v>2</v>
      </c>
      <c r="L76" s="8">
        <v>2.2000000000000002</v>
      </c>
      <c r="M76" s="6" t="s">
        <v>494</v>
      </c>
      <c r="N76" s="6" t="s">
        <v>494</v>
      </c>
      <c r="O76" s="4" t="s">
        <v>1974</v>
      </c>
      <c r="P76" s="27" t="s">
        <v>2196</v>
      </c>
      <c r="Q76" s="72" t="s">
        <v>197</v>
      </c>
      <c r="R76" s="27" t="s">
        <v>141</v>
      </c>
      <c r="S76" s="7">
        <f t="shared" si="19"/>
        <v>36</v>
      </c>
      <c r="T76" s="7">
        <v>1</v>
      </c>
      <c r="U76" s="4" t="s">
        <v>397</v>
      </c>
      <c r="V76" s="7">
        <v>35</v>
      </c>
      <c r="W76" s="4" t="s">
        <v>159</v>
      </c>
      <c r="X76" s="73">
        <v>146</v>
      </c>
      <c r="Y76" s="5" t="s">
        <v>714</v>
      </c>
      <c r="Z76" s="45" t="s">
        <v>424</v>
      </c>
      <c r="AA76" s="79" t="s">
        <v>400</v>
      </c>
      <c r="AF76" s="3"/>
      <c r="AG76" s="3"/>
      <c r="AH76" s="3"/>
      <c r="AI76" s="3"/>
      <c r="AJ76" s="3"/>
      <c r="AK76" s="31"/>
    </row>
    <row r="77" spans="1:37" ht="61.5" customHeight="1" x14ac:dyDescent="0.25">
      <c r="A77" s="71" t="s">
        <v>1072</v>
      </c>
      <c r="B77" s="28" t="s">
        <v>360</v>
      </c>
      <c r="C77" s="5" t="s">
        <v>1363</v>
      </c>
      <c r="D77" s="4" t="s">
        <v>294</v>
      </c>
      <c r="E77" s="4" t="s">
        <v>119</v>
      </c>
      <c r="F77" s="4" t="s">
        <v>652</v>
      </c>
      <c r="G77" s="27" t="s">
        <v>6</v>
      </c>
      <c r="H77" s="35">
        <f>6*4</f>
        <v>24</v>
      </c>
      <c r="I77" s="35">
        <f t="shared" ref="I77:I78" si="20">10*8-H77</f>
        <v>56</v>
      </c>
      <c r="J77" s="35">
        <f>(4+6+4)*2*2</f>
        <v>56</v>
      </c>
      <c r="K77" s="7">
        <v>1</v>
      </c>
      <c r="L77" s="8">
        <v>8</v>
      </c>
      <c r="M77" s="6" t="s">
        <v>494</v>
      </c>
      <c r="N77" s="6" t="s">
        <v>494</v>
      </c>
      <c r="O77" s="4" t="s">
        <v>1794</v>
      </c>
      <c r="P77" s="27" t="s">
        <v>1793</v>
      </c>
      <c r="Q77" s="72" t="s">
        <v>197</v>
      </c>
      <c r="R77" s="27" t="s">
        <v>141</v>
      </c>
      <c r="S77" s="7">
        <f t="shared" si="19"/>
        <v>51</v>
      </c>
      <c r="T77" s="7">
        <v>0</v>
      </c>
      <c r="U77" s="4" t="s">
        <v>141</v>
      </c>
      <c r="V77" s="7">
        <v>51</v>
      </c>
      <c r="W77" s="4" t="s">
        <v>159</v>
      </c>
      <c r="X77" s="73">
        <v>150</v>
      </c>
      <c r="Y77" s="5" t="s">
        <v>714</v>
      </c>
      <c r="AF77" s="3"/>
      <c r="AG77" s="3"/>
      <c r="AH77" s="3"/>
      <c r="AI77" s="3"/>
      <c r="AJ77" s="3"/>
      <c r="AK77" s="31"/>
    </row>
    <row r="78" spans="1:37" ht="110.25" x14ac:dyDescent="0.25">
      <c r="A78" s="71" t="s">
        <v>1073</v>
      </c>
      <c r="B78" s="28" t="s">
        <v>360</v>
      </c>
      <c r="C78" s="5" t="s">
        <v>1363</v>
      </c>
      <c r="D78" s="4" t="s">
        <v>295</v>
      </c>
      <c r="E78" s="4" t="s">
        <v>119</v>
      </c>
      <c r="F78" s="4" t="s">
        <v>224</v>
      </c>
      <c r="G78" s="27" t="s">
        <v>6</v>
      </c>
      <c r="H78" s="35">
        <f>6*4</f>
        <v>24</v>
      </c>
      <c r="I78" s="35">
        <f t="shared" si="20"/>
        <v>56</v>
      </c>
      <c r="J78" s="35">
        <f>(4+6+4)*2*2</f>
        <v>56</v>
      </c>
      <c r="K78" s="7">
        <v>2</v>
      </c>
      <c r="L78" s="8">
        <v>16</v>
      </c>
      <c r="M78" s="6" t="s">
        <v>494</v>
      </c>
      <c r="N78" s="6" t="s">
        <v>494</v>
      </c>
      <c r="O78" s="4" t="s">
        <v>1636</v>
      </c>
      <c r="P78" s="27" t="s">
        <v>1635</v>
      </c>
      <c r="Q78" s="72" t="s">
        <v>197</v>
      </c>
      <c r="R78" s="27" t="s">
        <v>141</v>
      </c>
      <c r="S78" s="7">
        <f t="shared" si="19"/>
        <v>150</v>
      </c>
      <c r="T78" s="7">
        <v>0</v>
      </c>
      <c r="U78" s="4" t="s">
        <v>141</v>
      </c>
      <c r="V78" s="7">
        <v>150</v>
      </c>
      <c r="W78" s="4" t="s">
        <v>201</v>
      </c>
      <c r="X78" s="73">
        <v>0</v>
      </c>
      <c r="Y78" s="5" t="s">
        <v>714</v>
      </c>
      <c r="AF78" s="3"/>
      <c r="AG78" s="3"/>
      <c r="AH78" s="3"/>
      <c r="AI78" s="3"/>
      <c r="AJ78" s="3"/>
      <c r="AK78" s="31"/>
    </row>
    <row r="79" spans="1:37" ht="52.5" customHeight="1" x14ac:dyDescent="0.25">
      <c r="A79" s="71" t="s">
        <v>1074</v>
      </c>
      <c r="B79" s="28" t="s">
        <v>360</v>
      </c>
      <c r="C79" s="5" t="s">
        <v>1363</v>
      </c>
      <c r="D79" s="4" t="s">
        <v>104</v>
      </c>
      <c r="E79" s="4" t="s">
        <v>119</v>
      </c>
      <c r="F79" s="4" t="s">
        <v>659</v>
      </c>
      <c r="G79" s="27" t="s">
        <v>6</v>
      </c>
      <c r="H79" s="35">
        <f>4.5*2</f>
        <v>9</v>
      </c>
      <c r="I79" s="35">
        <f>8.5*6-H79</f>
        <v>42</v>
      </c>
      <c r="J79" s="35">
        <f>(2+4.5+2)*1.6*2</f>
        <v>27.200000000000003</v>
      </c>
      <c r="K79" s="7">
        <v>2</v>
      </c>
      <c r="L79" s="8">
        <v>2.2000000000000002</v>
      </c>
      <c r="M79" s="6" t="s">
        <v>494</v>
      </c>
      <c r="N79" s="6" t="s">
        <v>494</v>
      </c>
      <c r="O79" s="4" t="s">
        <v>1974</v>
      </c>
      <c r="P79" s="27" t="s">
        <v>2197</v>
      </c>
      <c r="Q79" s="72" t="s">
        <v>197</v>
      </c>
      <c r="R79" s="27" t="s">
        <v>141</v>
      </c>
      <c r="S79" s="7">
        <f t="shared" si="19"/>
        <v>26</v>
      </c>
      <c r="T79" s="7">
        <v>0</v>
      </c>
      <c r="U79" s="4" t="s">
        <v>141</v>
      </c>
      <c r="V79" s="7">
        <v>26</v>
      </c>
      <c r="W79" s="4" t="s">
        <v>199</v>
      </c>
      <c r="X79" s="73">
        <v>0</v>
      </c>
      <c r="Y79" s="5" t="s">
        <v>714</v>
      </c>
      <c r="Z79" s="45" t="s">
        <v>424</v>
      </c>
      <c r="AF79" s="3"/>
      <c r="AG79" s="3"/>
      <c r="AH79" s="3"/>
      <c r="AI79" s="3"/>
      <c r="AJ79" s="3"/>
      <c r="AK79" s="31"/>
    </row>
    <row r="80" spans="1:37" ht="61.5" customHeight="1" x14ac:dyDescent="0.25">
      <c r="A80" s="71" t="s">
        <v>1075</v>
      </c>
      <c r="B80" s="28" t="s">
        <v>360</v>
      </c>
      <c r="C80" s="5" t="s">
        <v>1363</v>
      </c>
      <c r="D80" s="4" t="s">
        <v>766</v>
      </c>
      <c r="E80" s="4" t="s">
        <v>119</v>
      </c>
      <c r="F80" s="4" t="s">
        <v>2118</v>
      </c>
      <c r="G80" s="27" t="s">
        <v>6</v>
      </c>
      <c r="H80" s="35">
        <f>3*2</f>
        <v>6</v>
      </c>
      <c r="I80" s="35">
        <f>7*6-H80</f>
        <v>36</v>
      </c>
      <c r="J80" s="35">
        <f>(2+3+2)*1.06*2</f>
        <v>14.84</v>
      </c>
      <c r="K80" s="7">
        <v>1</v>
      </c>
      <c r="L80" s="8">
        <v>8</v>
      </c>
      <c r="M80" s="6" t="s">
        <v>494</v>
      </c>
      <c r="N80" s="6" t="s">
        <v>494</v>
      </c>
      <c r="O80" s="4" t="s">
        <v>1974</v>
      </c>
      <c r="P80" s="27" t="s">
        <v>2198</v>
      </c>
      <c r="Q80" s="72" t="s">
        <v>197</v>
      </c>
      <c r="R80" s="27" t="s">
        <v>141</v>
      </c>
      <c r="S80" s="7">
        <f t="shared" si="19"/>
        <v>34</v>
      </c>
      <c r="T80" s="7">
        <v>0</v>
      </c>
      <c r="U80" s="4" t="s">
        <v>141</v>
      </c>
      <c r="V80" s="7">
        <v>34</v>
      </c>
      <c r="W80" s="4" t="s">
        <v>200</v>
      </c>
      <c r="X80" s="73">
        <v>0</v>
      </c>
      <c r="Y80" s="5" t="s">
        <v>714</v>
      </c>
      <c r="Z80" s="45" t="s">
        <v>424</v>
      </c>
      <c r="AF80" s="3"/>
      <c r="AG80" s="3"/>
      <c r="AH80" s="3"/>
      <c r="AI80" s="3"/>
      <c r="AJ80" s="3"/>
      <c r="AK80" s="31"/>
    </row>
    <row r="81" spans="1:37" ht="67.5" customHeight="1" x14ac:dyDescent="0.25">
      <c r="A81" s="71" t="s">
        <v>1076</v>
      </c>
      <c r="B81" s="28" t="s">
        <v>360</v>
      </c>
      <c r="C81" s="5" t="s">
        <v>1363</v>
      </c>
      <c r="D81" s="4" t="s">
        <v>767</v>
      </c>
      <c r="E81" s="4" t="s">
        <v>119</v>
      </c>
      <c r="F81" s="4" t="s">
        <v>396</v>
      </c>
      <c r="G81" s="27" t="s">
        <v>6</v>
      </c>
      <c r="H81" s="35">
        <f>3*2</f>
        <v>6</v>
      </c>
      <c r="I81" s="35">
        <f t="shared" ref="I81:I83" si="21">7*6-H81</f>
        <v>36</v>
      </c>
      <c r="J81" s="35">
        <f>(2+3+2)*2*2</f>
        <v>28</v>
      </c>
      <c r="K81" s="7">
        <v>1</v>
      </c>
      <c r="L81" s="8">
        <v>1.1000000000000001</v>
      </c>
      <c r="M81" s="6" t="s">
        <v>494</v>
      </c>
      <c r="N81" s="6" t="s">
        <v>494</v>
      </c>
      <c r="O81" s="4" t="s">
        <v>1974</v>
      </c>
      <c r="P81" s="27" t="s">
        <v>395</v>
      </c>
      <c r="Q81" s="72" t="s">
        <v>197</v>
      </c>
      <c r="R81" s="27" t="s">
        <v>141</v>
      </c>
      <c r="S81" s="7">
        <f t="shared" si="19"/>
        <v>7</v>
      </c>
      <c r="T81" s="7">
        <v>0</v>
      </c>
      <c r="U81" s="4" t="s">
        <v>141</v>
      </c>
      <c r="V81" s="7">
        <v>7</v>
      </c>
      <c r="W81" s="4" t="s">
        <v>193</v>
      </c>
      <c r="X81" s="73">
        <v>0</v>
      </c>
      <c r="Y81" s="5" t="s">
        <v>714</v>
      </c>
      <c r="AF81" s="3"/>
      <c r="AG81" s="3"/>
      <c r="AH81" s="3"/>
      <c r="AI81" s="3"/>
      <c r="AJ81" s="3"/>
      <c r="AK81" s="31"/>
    </row>
    <row r="82" spans="1:37" ht="70.5" customHeight="1" x14ac:dyDescent="0.25">
      <c r="A82" s="71" t="s">
        <v>1077</v>
      </c>
      <c r="B82" s="28" t="s">
        <v>360</v>
      </c>
      <c r="C82" s="5" t="s">
        <v>1363</v>
      </c>
      <c r="D82" s="4" t="s">
        <v>768</v>
      </c>
      <c r="E82" s="4" t="s">
        <v>119</v>
      </c>
      <c r="F82" s="4" t="s">
        <v>396</v>
      </c>
      <c r="G82" s="27" t="s">
        <v>6</v>
      </c>
      <c r="H82" s="35">
        <f t="shared" ref="H82:H83" si="22">3*2</f>
        <v>6</v>
      </c>
      <c r="I82" s="35">
        <f t="shared" si="21"/>
        <v>36</v>
      </c>
      <c r="J82" s="35">
        <f t="shared" ref="J82:J83" si="23">(2+3+2)*2*2</f>
        <v>28</v>
      </c>
      <c r="K82" s="7">
        <v>2</v>
      </c>
      <c r="L82" s="8">
        <v>2.2000000000000002</v>
      </c>
      <c r="M82" s="6" t="s">
        <v>494</v>
      </c>
      <c r="N82" s="6" t="s">
        <v>494</v>
      </c>
      <c r="O82" s="4" t="s">
        <v>1974</v>
      </c>
      <c r="P82" s="27" t="s">
        <v>394</v>
      </c>
      <c r="Q82" s="72" t="s">
        <v>197</v>
      </c>
      <c r="R82" s="27" t="s">
        <v>141</v>
      </c>
      <c r="S82" s="7">
        <f t="shared" si="19"/>
        <v>12</v>
      </c>
      <c r="T82" s="7">
        <v>1</v>
      </c>
      <c r="U82" s="4" t="s">
        <v>190</v>
      </c>
      <c r="V82" s="7">
        <v>11</v>
      </c>
      <c r="W82" s="4" t="s">
        <v>192</v>
      </c>
      <c r="X82" s="73">
        <v>0</v>
      </c>
      <c r="Y82" s="5" t="s">
        <v>714</v>
      </c>
      <c r="AF82" s="3"/>
      <c r="AG82" s="3"/>
      <c r="AH82" s="3"/>
      <c r="AI82" s="3"/>
      <c r="AJ82" s="3"/>
      <c r="AK82" s="31"/>
    </row>
    <row r="83" spans="1:37" ht="70.5" customHeight="1" x14ac:dyDescent="0.25">
      <c r="A83" s="71" t="s">
        <v>1078</v>
      </c>
      <c r="B83" s="28" t="s">
        <v>360</v>
      </c>
      <c r="C83" s="5" t="s">
        <v>1363</v>
      </c>
      <c r="D83" s="4" t="s">
        <v>296</v>
      </c>
      <c r="E83" s="4" t="s">
        <v>119</v>
      </c>
      <c r="F83" s="4" t="s">
        <v>396</v>
      </c>
      <c r="G83" s="27" t="s">
        <v>6</v>
      </c>
      <c r="H83" s="35">
        <f t="shared" si="22"/>
        <v>6</v>
      </c>
      <c r="I83" s="35">
        <f t="shared" si="21"/>
        <v>36</v>
      </c>
      <c r="J83" s="35">
        <f t="shared" si="23"/>
        <v>28</v>
      </c>
      <c r="K83" s="7">
        <v>2</v>
      </c>
      <c r="L83" s="8">
        <v>2.2000000000000002</v>
      </c>
      <c r="M83" s="6" t="s">
        <v>494</v>
      </c>
      <c r="N83" s="6" t="s">
        <v>494</v>
      </c>
      <c r="O83" s="4" t="s">
        <v>1974</v>
      </c>
      <c r="P83" s="27" t="s">
        <v>393</v>
      </c>
      <c r="Q83" s="72" t="s">
        <v>197</v>
      </c>
      <c r="R83" s="27" t="s">
        <v>141</v>
      </c>
      <c r="S83" s="7">
        <f t="shared" si="19"/>
        <v>11</v>
      </c>
      <c r="T83" s="7">
        <v>0</v>
      </c>
      <c r="U83" s="4" t="s">
        <v>141</v>
      </c>
      <c r="V83" s="7">
        <v>11</v>
      </c>
      <c r="W83" s="4" t="s">
        <v>191</v>
      </c>
      <c r="X83" s="73">
        <v>0</v>
      </c>
      <c r="Y83" s="5" t="s">
        <v>714</v>
      </c>
      <c r="AF83" s="3"/>
      <c r="AG83" s="3"/>
      <c r="AH83" s="3"/>
      <c r="AI83" s="3"/>
      <c r="AJ83" s="3"/>
      <c r="AK83" s="31"/>
    </row>
    <row r="84" spans="1:37" s="50" customFormat="1" ht="70.5" customHeight="1" x14ac:dyDescent="0.25">
      <c r="A84" s="71" t="s">
        <v>1079</v>
      </c>
      <c r="B84" s="28" t="s">
        <v>360</v>
      </c>
      <c r="C84" s="5" t="s">
        <v>1363</v>
      </c>
      <c r="D84" s="4" t="s">
        <v>788</v>
      </c>
      <c r="E84" s="4" t="s">
        <v>308</v>
      </c>
      <c r="F84" s="4" t="s">
        <v>253</v>
      </c>
      <c r="G84" s="27"/>
      <c r="H84" s="35">
        <f>6*4</f>
        <v>24</v>
      </c>
      <c r="I84" s="35">
        <f>10*8-H84</f>
        <v>56</v>
      </c>
      <c r="J84" s="35">
        <f>(4+6+4)*2*2</f>
        <v>56</v>
      </c>
      <c r="K84" s="7">
        <v>1</v>
      </c>
      <c r="L84" s="8">
        <v>8</v>
      </c>
      <c r="M84" s="6" t="s">
        <v>494</v>
      </c>
      <c r="N84" s="6" t="s">
        <v>494</v>
      </c>
      <c r="O84" s="4" t="s">
        <v>1974</v>
      </c>
      <c r="P84" s="6" t="s">
        <v>118</v>
      </c>
      <c r="Q84" s="72" t="s">
        <v>141</v>
      </c>
      <c r="R84" s="27" t="s">
        <v>141</v>
      </c>
      <c r="S84" s="9">
        <f>T84+V84</f>
        <v>23</v>
      </c>
      <c r="T84" s="9">
        <v>0</v>
      </c>
      <c r="U84" s="5" t="s">
        <v>141</v>
      </c>
      <c r="V84" s="9">
        <v>23</v>
      </c>
      <c r="W84" s="5" t="s">
        <v>1427</v>
      </c>
      <c r="X84" s="73"/>
      <c r="Y84" s="5" t="s">
        <v>714</v>
      </c>
      <c r="Z84" s="49"/>
      <c r="AF84" s="3"/>
      <c r="AG84" s="3"/>
      <c r="AH84" s="3"/>
      <c r="AI84" s="3"/>
      <c r="AJ84" s="3"/>
      <c r="AK84" s="31"/>
    </row>
    <row r="85" spans="1:37" s="50" customFormat="1" ht="70.5" customHeight="1" x14ac:dyDescent="0.25">
      <c r="A85" s="71" t="s">
        <v>1080</v>
      </c>
      <c r="B85" s="28" t="s">
        <v>360</v>
      </c>
      <c r="C85" s="5" t="s">
        <v>1413</v>
      </c>
      <c r="D85" s="4" t="s">
        <v>789</v>
      </c>
      <c r="E85" s="4" t="s">
        <v>308</v>
      </c>
      <c r="F85" s="4" t="s">
        <v>658</v>
      </c>
      <c r="G85" s="27" t="s">
        <v>6</v>
      </c>
      <c r="H85" s="35">
        <f>6*2</f>
        <v>12</v>
      </c>
      <c r="I85" s="35">
        <f>10*6-H85</f>
        <v>48</v>
      </c>
      <c r="J85" s="35">
        <f>(2+6+2+2)*1.6*2</f>
        <v>38.400000000000006</v>
      </c>
      <c r="K85" s="7">
        <v>3</v>
      </c>
      <c r="L85" s="8">
        <v>3.3</v>
      </c>
      <c r="M85" s="6" t="s">
        <v>494</v>
      </c>
      <c r="N85" s="6" t="s">
        <v>494</v>
      </c>
      <c r="O85" s="4" t="s">
        <v>1974</v>
      </c>
      <c r="P85" s="27"/>
      <c r="Q85" s="72" t="s">
        <v>141</v>
      </c>
      <c r="R85" s="27" t="s">
        <v>141</v>
      </c>
      <c r="S85" s="9">
        <f>T85+V85</f>
        <v>43</v>
      </c>
      <c r="T85" s="9">
        <v>0</v>
      </c>
      <c r="U85" s="5" t="s">
        <v>141</v>
      </c>
      <c r="V85" s="9">
        <v>43</v>
      </c>
      <c r="W85" s="5" t="s">
        <v>1427</v>
      </c>
      <c r="X85" s="80"/>
      <c r="Y85" s="5" t="s">
        <v>714</v>
      </c>
      <c r="Z85" s="49" t="s">
        <v>425</v>
      </c>
      <c r="AF85" s="3"/>
      <c r="AG85" s="3"/>
      <c r="AH85" s="3"/>
      <c r="AI85" s="3"/>
      <c r="AJ85" s="3"/>
      <c r="AK85" s="31"/>
    </row>
    <row r="86" spans="1:37" ht="110.25" x14ac:dyDescent="0.25">
      <c r="A86" s="71" t="s">
        <v>1081</v>
      </c>
      <c r="B86" s="28" t="s">
        <v>360</v>
      </c>
      <c r="C86" s="5" t="s">
        <v>1363</v>
      </c>
      <c r="D86" s="4" t="s">
        <v>790</v>
      </c>
      <c r="E86" s="5" t="s">
        <v>675</v>
      </c>
      <c r="F86" s="4" t="s">
        <v>658</v>
      </c>
      <c r="G86" s="6" t="s">
        <v>118</v>
      </c>
      <c r="H86" s="35">
        <f>6*2</f>
        <v>12</v>
      </c>
      <c r="I86" s="35">
        <f>10*6-H86</f>
        <v>48</v>
      </c>
      <c r="J86" s="35">
        <f>(2+6+2+2)*1.6*2</f>
        <v>38.400000000000006</v>
      </c>
      <c r="K86" s="9">
        <v>2</v>
      </c>
      <c r="L86" s="10">
        <v>2.2000000000000002</v>
      </c>
      <c r="M86" s="6" t="s">
        <v>494</v>
      </c>
      <c r="N86" s="6" t="s">
        <v>494</v>
      </c>
      <c r="O86" s="4" t="s">
        <v>1974</v>
      </c>
      <c r="P86" s="81"/>
      <c r="Q86" s="12" t="s">
        <v>142</v>
      </c>
      <c r="R86" s="6" t="s">
        <v>676</v>
      </c>
      <c r="S86" s="9">
        <f t="shared" ref="S86" si="24">T86+V86</f>
        <v>0</v>
      </c>
      <c r="T86" s="9">
        <v>0</v>
      </c>
      <c r="U86" s="6" t="s">
        <v>141</v>
      </c>
      <c r="V86" s="11">
        <v>0</v>
      </c>
      <c r="W86" s="6" t="s">
        <v>141</v>
      </c>
      <c r="X86" s="82">
        <v>46</v>
      </c>
      <c r="Y86" s="5" t="s">
        <v>1687</v>
      </c>
      <c r="Z86" s="45" t="s">
        <v>425</v>
      </c>
    </row>
    <row r="87" spans="1:37" s="2" customFormat="1" ht="58.5" customHeight="1" x14ac:dyDescent="0.25">
      <c r="A87" s="71" t="s">
        <v>1082</v>
      </c>
      <c r="B87" s="28" t="s">
        <v>365</v>
      </c>
      <c r="C87" s="5" t="s">
        <v>1363</v>
      </c>
      <c r="D87" s="5" t="s">
        <v>2164</v>
      </c>
      <c r="E87" s="5" t="s">
        <v>119</v>
      </c>
      <c r="F87" s="5" t="s">
        <v>246</v>
      </c>
      <c r="G87" s="6" t="s">
        <v>118</v>
      </c>
      <c r="H87" s="83"/>
      <c r="I87" s="84"/>
      <c r="J87" s="83"/>
      <c r="K87" s="9">
        <v>4</v>
      </c>
      <c r="L87" s="10">
        <v>4.4000000000000004</v>
      </c>
      <c r="M87" s="6" t="s">
        <v>1559</v>
      </c>
      <c r="N87" s="6" t="s">
        <v>1559</v>
      </c>
      <c r="O87" s="4" t="s">
        <v>1974</v>
      </c>
      <c r="P87" s="6" t="s">
        <v>1770</v>
      </c>
      <c r="Q87" s="12" t="s">
        <v>141</v>
      </c>
      <c r="R87" s="6" t="s">
        <v>141</v>
      </c>
      <c r="S87" s="9">
        <f t="shared" ref="S87:S110" si="25">T87+V87</f>
        <v>9</v>
      </c>
      <c r="T87" s="9">
        <v>9</v>
      </c>
      <c r="U87" s="5" t="s">
        <v>245</v>
      </c>
      <c r="V87" s="9">
        <v>0</v>
      </c>
      <c r="W87" s="5" t="s">
        <v>141</v>
      </c>
      <c r="X87" s="29">
        <v>920</v>
      </c>
      <c r="Y87" s="5" t="s">
        <v>1687</v>
      </c>
      <c r="Z87" s="30"/>
      <c r="AF87" s="3"/>
      <c r="AG87" s="3"/>
      <c r="AH87" s="3"/>
      <c r="AI87" s="3"/>
      <c r="AJ87" s="3"/>
      <c r="AK87" s="31"/>
    </row>
    <row r="88" spans="1:37" s="2" customFormat="1" ht="60" customHeight="1" x14ac:dyDescent="0.25">
      <c r="A88" s="71" t="s">
        <v>1083</v>
      </c>
      <c r="B88" s="28" t="s">
        <v>365</v>
      </c>
      <c r="C88" s="5" t="s">
        <v>1363</v>
      </c>
      <c r="D88" s="5" t="s">
        <v>2165</v>
      </c>
      <c r="E88" s="5" t="s">
        <v>119</v>
      </c>
      <c r="F88" s="5" t="s">
        <v>226</v>
      </c>
      <c r="G88" s="6" t="s">
        <v>118</v>
      </c>
      <c r="H88" s="84">
        <v>3.6</v>
      </c>
      <c r="I88" s="84">
        <f>7*5.2-H88</f>
        <v>32.799999999999997</v>
      </c>
      <c r="J88" s="84">
        <v>0</v>
      </c>
      <c r="K88" s="9">
        <v>3</v>
      </c>
      <c r="L88" s="10">
        <v>2.25</v>
      </c>
      <c r="M88" s="6" t="s">
        <v>1650</v>
      </c>
      <c r="N88" s="6" t="s">
        <v>494</v>
      </c>
      <c r="O88" s="5"/>
      <c r="P88" s="6" t="s">
        <v>118</v>
      </c>
      <c r="Q88" s="12" t="s">
        <v>141</v>
      </c>
      <c r="R88" s="6" t="s">
        <v>141</v>
      </c>
      <c r="S88" s="9">
        <f t="shared" si="25"/>
        <v>4</v>
      </c>
      <c r="T88" s="9">
        <v>1</v>
      </c>
      <c r="U88" s="5" t="s">
        <v>206</v>
      </c>
      <c r="V88" s="9">
        <v>3</v>
      </c>
      <c r="W88" s="5" t="s">
        <v>207</v>
      </c>
      <c r="X88" s="29">
        <v>31</v>
      </c>
      <c r="Y88" s="5" t="s">
        <v>1687</v>
      </c>
      <c r="Z88" s="30"/>
      <c r="AF88" s="3"/>
      <c r="AG88" s="3"/>
      <c r="AH88" s="3"/>
      <c r="AI88" s="3"/>
      <c r="AJ88" s="3"/>
      <c r="AK88" s="31"/>
    </row>
    <row r="89" spans="1:37" s="2" customFormat="1" ht="64.5" customHeight="1" x14ac:dyDescent="0.25">
      <c r="A89" s="71" t="s">
        <v>1084</v>
      </c>
      <c r="B89" s="28" t="s">
        <v>365</v>
      </c>
      <c r="C89" s="5" t="s">
        <v>1923</v>
      </c>
      <c r="D89" s="5" t="s">
        <v>2166</v>
      </c>
      <c r="E89" s="5" t="s">
        <v>119</v>
      </c>
      <c r="F89" s="5" t="s">
        <v>247</v>
      </c>
      <c r="G89" s="6" t="s">
        <v>118</v>
      </c>
      <c r="H89" s="83"/>
      <c r="I89" s="84"/>
      <c r="J89" s="83"/>
      <c r="K89" s="9">
        <v>5</v>
      </c>
      <c r="L89" s="10">
        <v>5.5</v>
      </c>
      <c r="M89" s="6" t="s">
        <v>1559</v>
      </c>
      <c r="N89" s="6" t="s">
        <v>1559</v>
      </c>
      <c r="O89" s="4" t="s">
        <v>1974</v>
      </c>
      <c r="P89" s="6" t="s">
        <v>1922</v>
      </c>
      <c r="Q89" s="12" t="s">
        <v>141</v>
      </c>
      <c r="R89" s="6" t="s">
        <v>141</v>
      </c>
      <c r="S89" s="9">
        <f t="shared" si="25"/>
        <v>1</v>
      </c>
      <c r="T89" s="9">
        <v>1</v>
      </c>
      <c r="U89" s="5" t="s">
        <v>243</v>
      </c>
      <c r="V89" s="9">
        <v>0</v>
      </c>
      <c r="W89" s="5" t="s">
        <v>141</v>
      </c>
      <c r="X89" s="29">
        <v>374</v>
      </c>
      <c r="Y89" s="5" t="s">
        <v>1687</v>
      </c>
      <c r="Z89" s="30"/>
      <c r="AF89" s="3"/>
      <c r="AG89" s="3"/>
      <c r="AH89" s="3"/>
      <c r="AI89" s="3"/>
      <c r="AJ89" s="3"/>
      <c r="AK89" s="31"/>
    </row>
    <row r="90" spans="1:37" s="2" customFormat="1" ht="60" customHeight="1" x14ac:dyDescent="0.25">
      <c r="A90" s="71" t="s">
        <v>1085</v>
      </c>
      <c r="B90" s="28" t="s">
        <v>365</v>
      </c>
      <c r="C90" s="5" t="s">
        <v>1363</v>
      </c>
      <c r="D90" s="5" t="s">
        <v>2167</v>
      </c>
      <c r="E90" s="5" t="s">
        <v>119</v>
      </c>
      <c r="F90" s="5" t="s">
        <v>246</v>
      </c>
      <c r="G90" s="6" t="s">
        <v>118</v>
      </c>
      <c r="H90" s="83"/>
      <c r="I90" s="84"/>
      <c r="J90" s="83"/>
      <c r="K90" s="9">
        <v>1</v>
      </c>
      <c r="L90" s="10">
        <v>8</v>
      </c>
      <c r="M90" s="6" t="s">
        <v>1559</v>
      </c>
      <c r="N90" s="6" t="s">
        <v>1559</v>
      </c>
      <c r="O90" s="5"/>
      <c r="P90" s="6" t="s">
        <v>118</v>
      </c>
      <c r="Q90" s="12" t="s">
        <v>141</v>
      </c>
      <c r="R90" s="6" t="s">
        <v>141</v>
      </c>
      <c r="S90" s="9">
        <f t="shared" si="25"/>
        <v>4</v>
      </c>
      <c r="T90" s="9">
        <v>4</v>
      </c>
      <c r="U90" s="5" t="s">
        <v>1651</v>
      </c>
      <c r="V90" s="9">
        <v>0</v>
      </c>
      <c r="W90" s="5" t="s">
        <v>141</v>
      </c>
      <c r="X90" s="29">
        <v>354</v>
      </c>
      <c r="Y90" s="5" t="s">
        <v>1687</v>
      </c>
      <c r="Z90" s="30"/>
      <c r="AF90" s="3"/>
      <c r="AG90" s="3"/>
      <c r="AH90" s="3"/>
      <c r="AI90" s="3"/>
      <c r="AJ90" s="3"/>
      <c r="AK90" s="31"/>
    </row>
    <row r="91" spans="1:37" s="2" customFormat="1" ht="102.75" customHeight="1" x14ac:dyDescent="0.25">
      <c r="A91" s="71" t="s">
        <v>1086</v>
      </c>
      <c r="B91" s="28" t="s">
        <v>365</v>
      </c>
      <c r="C91" s="5" t="s">
        <v>1363</v>
      </c>
      <c r="D91" s="5" t="s">
        <v>2168</v>
      </c>
      <c r="E91" s="4" t="s">
        <v>117</v>
      </c>
      <c r="F91" s="5" t="s">
        <v>248</v>
      </c>
      <c r="G91" s="6" t="s">
        <v>118</v>
      </c>
      <c r="H91" s="85"/>
      <c r="I91" s="85"/>
      <c r="J91" s="85"/>
      <c r="K91" s="9">
        <v>2</v>
      </c>
      <c r="L91" s="10">
        <v>2.2000000000000002</v>
      </c>
      <c r="M91" s="6" t="s">
        <v>1623</v>
      </c>
      <c r="N91" s="6" t="s">
        <v>713</v>
      </c>
      <c r="O91" s="5" t="s">
        <v>122</v>
      </c>
      <c r="P91" s="6" t="s">
        <v>118</v>
      </c>
      <c r="Q91" s="11">
        <v>0</v>
      </c>
      <c r="R91" s="6" t="s">
        <v>141</v>
      </c>
      <c r="S91" s="9">
        <f t="shared" si="25"/>
        <v>7</v>
      </c>
      <c r="T91" s="9">
        <v>1</v>
      </c>
      <c r="U91" s="5" t="s">
        <v>244</v>
      </c>
      <c r="V91" s="9">
        <v>6</v>
      </c>
      <c r="W91" s="5" t="s">
        <v>249</v>
      </c>
      <c r="X91" s="29">
        <v>66</v>
      </c>
      <c r="Y91" s="5" t="s">
        <v>713</v>
      </c>
      <c r="Z91" s="30"/>
      <c r="AF91" s="3"/>
      <c r="AG91" s="3"/>
      <c r="AH91" s="3"/>
      <c r="AI91" s="3"/>
      <c r="AJ91" s="3"/>
      <c r="AK91" s="31"/>
    </row>
    <row r="92" spans="1:37" s="2" customFormat="1" ht="57" customHeight="1" x14ac:dyDescent="0.25">
      <c r="A92" s="71" t="s">
        <v>1087</v>
      </c>
      <c r="B92" s="28" t="s">
        <v>365</v>
      </c>
      <c r="C92" s="5" t="s">
        <v>1363</v>
      </c>
      <c r="D92" s="5" t="s">
        <v>2169</v>
      </c>
      <c r="E92" s="5" t="s">
        <v>119</v>
      </c>
      <c r="F92" s="4" t="s">
        <v>224</v>
      </c>
      <c r="G92" s="6" t="s">
        <v>118</v>
      </c>
      <c r="H92" s="35">
        <f t="shared" ref="H92:H100" si="26">6*4</f>
        <v>24</v>
      </c>
      <c r="I92" s="35">
        <f t="shared" ref="I92:I100" si="27">10*8-H92</f>
        <v>56</v>
      </c>
      <c r="J92" s="35">
        <f t="shared" ref="J92:J100" si="28">(4+6+4)*2*2</f>
        <v>56</v>
      </c>
      <c r="K92" s="9">
        <v>2</v>
      </c>
      <c r="L92" s="10">
        <v>16</v>
      </c>
      <c r="M92" s="6" t="s">
        <v>494</v>
      </c>
      <c r="N92" s="6" t="s">
        <v>494</v>
      </c>
      <c r="O92" s="4" t="s">
        <v>1602</v>
      </c>
      <c r="P92" s="6" t="s">
        <v>118</v>
      </c>
      <c r="Q92" s="12" t="s">
        <v>141</v>
      </c>
      <c r="R92" s="6" t="s">
        <v>141</v>
      </c>
      <c r="S92" s="9">
        <f t="shared" si="25"/>
        <v>8</v>
      </c>
      <c r="T92" s="9">
        <v>6</v>
      </c>
      <c r="U92" s="5" t="s">
        <v>1522</v>
      </c>
      <c r="V92" s="9">
        <v>2</v>
      </c>
      <c r="W92" s="5" t="s">
        <v>1523</v>
      </c>
      <c r="X92" s="29">
        <v>250</v>
      </c>
      <c r="Y92" s="5" t="s">
        <v>714</v>
      </c>
      <c r="Z92" s="30"/>
      <c r="AF92" s="3"/>
      <c r="AG92" s="3"/>
      <c r="AH92" s="3"/>
      <c r="AI92" s="3"/>
      <c r="AJ92" s="3"/>
      <c r="AK92" s="31"/>
    </row>
    <row r="93" spans="1:37" s="2" customFormat="1" ht="70.5" customHeight="1" x14ac:dyDescent="0.25">
      <c r="A93" s="71" t="s">
        <v>1088</v>
      </c>
      <c r="B93" s="28" t="s">
        <v>365</v>
      </c>
      <c r="C93" s="5" t="s">
        <v>1363</v>
      </c>
      <c r="D93" s="5" t="s">
        <v>2170</v>
      </c>
      <c r="E93" s="5" t="s">
        <v>119</v>
      </c>
      <c r="F93" s="4" t="s">
        <v>224</v>
      </c>
      <c r="G93" s="6" t="s">
        <v>118</v>
      </c>
      <c r="H93" s="35">
        <f t="shared" si="26"/>
        <v>24</v>
      </c>
      <c r="I93" s="35">
        <f t="shared" si="27"/>
        <v>56</v>
      </c>
      <c r="J93" s="35">
        <f t="shared" si="28"/>
        <v>56</v>
      </c>
      <c r="K93" s="9">
        <v>1</v>
      </c>
      <c r="L93" s="10">
        <v>8</v>
      </c>
      <c r="M93" s="6" t="s">
        <v>494</v>
      </c>
      <c r="N93" s="6" t="s">
        <v>494</v>
      </c>
      <c r="O93" s="4" t="s">
        <v>267</v>
      </c>
      <c r="P93" s="6" t="s">
        <v>118</v>
      </c>
      <c r="Q93" s="12" t="s">
        <v>141</v>
      </c>
      <c r="R93" s="6" t="s">
        <v>141</v>
      </c>
      <c r="S93" s="9">
        <f t="shared" si="25"/>
        <v>81</v>
      </c>
      <c r="T93" s="9">
        <v>10</v>
      </c>
      <c r="U93" s="5" t="s">
        <v>208</v>
      </c>
      <c r="V93" s="9">
        <v>71</v>
      </c>
      <c r="W93" s="5" t="s">
        <v>209</v>
      </c>
      <c r="X93" s="29">
        <v>859</v>
      </c>
      <c r="Y93" s="5" t="s">
        <v>714</v>
      </c>
      <c r="Z93" s="30"/>
      <c r="AF93" s="3"/>
      <c r="AG93" s="3"/>
      <c r="AH93" s="3"/>
      <c r="AI93" s="3"/>
      <c r="AJ93" s="3"/>
      <c r="AK93" s="31"/>
    </row>
    <row r="94" spans="1:37" s="2" customFormat="1" ht="84" customHeight="1" x14ac:dyDescent="0.25">
      <c r="A94" s="71" t="s">
        <v>1089</v>
      </c>
      <c r="B94" s="28" t="s">
        <v>365</v>
      </c>
      <c r="C94" s="5" t="s">
        <v>1363</v>
      </c>
      <c r="D94" s="5" t="s">
        <v>2171</v>
      </c>
      <c r="E94" s="5" t="s">
        <v>416</v>
      </c>
      <c r="F94" s="4" t="s">
        <v>224</v>
      </c>
      <c r="G94" s="6" t="s">
        <v>118</v>
      </c>
      <c r="H94" s="35">
        <f t="shared" si="26"/>
        <v>24</v>
      </c>
      <c r="I94" s="35">
        <f t="shared" si="27"/>
        <v>56</v>
      </c>
      <c r="J94" s="35">
        <f t="shared" si="28"/>
        <v>56</v>
      </c>
      <c r="K94" s="9">
        <v>3</v>
      </c>
      <c r="L94" s="10">
        <v>3.3</v>
      </c>
      <c r="M94" s="6" t="s">
        <v>494</v>
      </c>
      <c r="N94" s="6" t="s">
        <v>494</v>
      </c>
      <c r="O94" s="4" t="s">
        <v>1974</v>
      </c>
      <c r="P94" s="6" t="s">
        <v>2199</v>
      </c>
      <c r="Q94" s="12" t="s">
        <v>141</v>
      </c>
      <c r="R94" s="6" t="s">
        <v>141</v>
      </c>
      <c r="S94" s="9">
        <f t="shared" si="25"/>
        <v>102</v>
      </c>
      <c r="T94" s="9">
        <v>0</v>
      </c>
      <c r="U94" s="6" t="s">
        <v>141</v>
      </c>
      <c r="V94" s="9">
        <v>102</v>
      </c>
      <c r="W94" s="5" t="s">
        <v>1428</v>
      </c>
      <c r="X94" s="29">
        <v>241</v>
      </c>
      <c r="Y94" s="5" t="s">
        <v>714</v>
      </c>
      <c r="Z94" s="30"/>
      <c r="AA94" s="86"/>
      <c r="AF94" s="3"/>
      <c r="AG94" s="3"/>
      <c r="AH94" s="3"/>
      <c r="AI94" s="3"/>
      <c r="AJ94" s="3"/>
      <c r="AK94" s="31"/>
    </row>
    <row r="95" spans="1:37" s="2" customFormat="1" ht="84" customHeight="1" x14ac:dyDescent="0.25">
      <c r="A95" s="71" t="s">
        <v>1090</v>
      </c>
      <c r="B95" s="28" t="s">
        <v>365</v>
      </c>
      <c r="C95" s="5" t="s">
        <v>1363</v>
      </c>
      <c r="D95" s="5" t="s">
        <v>2172</v>
      </c>
      <c r="E95" s="5" t="s">
        <v>119</v>
      </c>
      <c r="F95" s="4" t="s">
        <v>224</v>
      </c>
      <c r="G95" s="6" t="s">
        <v>118</v>
      </c>
      <c r="H95" s="35">
        <f t="shared" si="26"/>
        <v>24</v>
      </c>
      <c r="I95" s="35">
        <f t="shared" si="27"/>
        <v>56</v>
      </c>
      <c r="J95" s="35">
        <f t="shared" si="28"/>
        <v>56</v>
      </c>
      <c r="K95" s="9">
        <v>3</v>
      </c>
      <c r="L95" s="10">
        <v>3.3</v>
      </c>
      <c r="M95" s="6" t="s">
        <v>494</v>
      </c>
      <c r="N95" s="6" t="s">
        <v>494</v>
      </c>
      <c r="O95" s="4" t="s">
        <v>1974</v>
      </c>
      <c r="P95" s="6" t="s">
        <v>442</v>
      </c>
      <c r="Q95" s="12" t="s">
        <v>141</v>
      </c>
      <c r="R95" s="6" t="s">
        <v>141</v>
      </c>
      <c r="S95" s="9">
        <f t="shared" si="25"/>
        <v>45</v>
      </c>
      <c r="T95" s="9">
        <v>0</v>
      </c>
      <c r="U95" s="6" t="s">
        <v>141</v>
      </c>
      <c r="V95" s="9">
        <v>45</v>
      </c>
      <c r="W95" s="5" t="s">
        <v>257</v>
      </c>
      <c r="X95" s="29"/>
      <c r="Y95" s="5" t="s">
        <v>714</v>
      </c>
      <c r="Z95" s="30"/>
      <c r="AF95" s="3"/>
      <c r="AG95" s="3"/>
      <c r="AH95" s="3"/>
      <c r="AI95" s="3"/>
      <c r="AJ95" s="3"/>
      <c r="AK95" s="31"/>
    </row>
    <row r="96" spans="1:37" s="2" customFormat="1" ht="85.5" customHeight="1" x14ac:dyDescent="0.25">
      <c r="A96" s="71" t="s">
        <v>1091</v>
      </c>
      <c r="B96" s="28" t="s">
        <v>365</v>
      </c>
      <c r="C96" s="5" t="s">
        <v>1363</v>
      </c>
      <c r="D96" s="5" t="s">
        <v>2173</v>
      </c>
      <c r="E96" s="5" t="s">
        <v>119</v>
      </c>
      <c r="F96" s="4" t="s">
        <v>224</v>
      </c>
      <c r="G96" s="6" t="s">
        <v>118</v>
      </c>
      <c r="H96" s="35">
        <f t="shared" si="26"/>
        <v>24</v>
      </c>
      <c r="I96" s="35">
        <f t="shared" si="27"/>
        <v>56</v>
      </c>
      <c r="J96" s="35">
        <f t="shared" si="28"/>
        <v>56</v>
      </c>
      <c r="K96" s="9">
        <v>1</v>
      </c>
      <c r="L96" s="10">
        <v>8</v>
      </c>
      <c r="M96" s="6" t="s">
        <v>494</v>
      </c>
      <c r="N96" s="6" t="s">
        <v>494</v>
      </c>
      <c r="O96" s="4" t="s">
        <v>267</v>
      </c>
      <c r="P96" s="6" t="s">
        <v>118</v>
      </c>
      <c r="Q96" s="12" t="s">
        <v>141</v>
      </c>
      <c r="R96" s="6" t="s">
        <v>141</v>
      </c>
      <c r="S96" s="9">
        <f t="shared" si="25"/>
        <v>85</v>
      </c>
      <c r="T96" s="9">
        <v>0</v>
      </c>
      <c r="U96" s="6" t="s">
        <v>141</v>
      </c>
      <c r="V96" s="9">
        <v>85</v>
      </c>
      <c r="W96" s="5" t="s">
        <v>259</v>
      </c>
      <c r="X96" s="29"/>
      <c r="Y96" s="5" t="s">
        <v>714</v>
      </c>
      <c r="Z96" s="30"/>
      <c r="AF96" s="3"/>
      <c r="AG96" s="3"/>
      <c r="AH96" s="3"/>
      <c r="AI96" s="3"/>
      <c r="AJ96" s="3"/>
      <c r="AK96" s="31"/>
    </row>
    <row r="97" spans="1:37" s="2" customFormat="1" ht="110.25" x14ac:dyDescent="0.25">
      <c r="A97" s="71" t="s">
        <v>1092</v>
      </c>
      <c r="B97" s="28" t="s">
        <v>365</v>
      </c>
      <c r="C97" s="5" t="s">
        <v>1363</v>
      </c>
      <c r="D97" s="5" t="s">
        <v>2174</v>
      </c>
      <c r="E97" s="5" t="s">
        <v>119</v>
      </c>
      <c r="F97" s="4" t="s">
        <v>224</v>
      </c>
      <c r="G97" s="6" t="s">
        <v>118</v>
      </c>
      <c r="H97" s="35">
        <f t="shared" si="26"/>
        <v>24</v>
      </c>
      <c r="I97" s="35">
        <f t="shared" si="27"/>
        <v>56</v>
      </c>
      <c r="J97" s="35">
        <f t="shared" si="28"/>
        <v>56</v>
      </c>
      <c r="K97" s="9">
        <v>3</v>
      </c>
      <c r="L97" s="10">
        <v>3.3</v>
      </c>
      <c r="M97" s="6" t="s">
        <v>494</v>
      </c>
      <c r="N97" s="6" t="s">
        <v>494</v>
      </c>
      <c r="O97" s="4" t="s">
        <v>1974</v>
      </c>
      <c r="P97" s="6" t="s">
        <v>1527</v>
      </c>
      <c r="Q97" s="12" t="s">
        <v>141</v>
      </c>
      <c r="R97" s="6" t="s">
        <v>141</v>
      </c>
      <c r="S97" s="9">
        <f t="shared" si="25"/>
        <v>128</v>
      </c>
      <c r="T97" s="9">
        <v>0</v>
      </c>
      <c r="U97" s="6" t="s">
        <v>141</v>
      </c>
      <c r="V97" s="9">
        <v>128</v>
      </c>
      <c r="W97" s="5" t="s">
        <v>260</v>
      </c>
      <c r="X97" s="29"/>
      <c r="Y97" s="5" t="s">
        <v>714</v>
      </c>
      <c r="Z97" s="30"/>
      <c r="AF97" s="3"/>
      <c r="AG97" s="3"/>
      <c r="AH97" s="3"/>
      <c r="AI97" s="3"/>
      <c r="AJ97" s="3"/>
      <c r="AK97" s="31"/>
    </row>
    <row r="98" spans="1:37" s="2" customFormat="1" ht="84" customHeight="1" x14ac:dyDescent="0.25">
      <c r="A98" s="71" t="s">
        <v>1093</v>
      </c>
      <c r="B98" s="28" t="s">
        <v>365</v>
      </c>
      <c r="C98" s="5" t="s">
        <v>1363</v>
      </c>
      <c r="D98" s="5" t="s">
        <v>2175</v>
      </c>
      <c r="E98" s="5" t="s">
        <v>407</v>
      </c>
      <c r="F98" s="4" t="s">
        <v>224</v>
      </c>
      <c r="G98" s="6" t="s">
        <v>118</v>
      </c>
      <c r="H98" s="35">
        <f t="shared" si="26"/>
        <v>24</v>
      </c>
      <c r="I98" s="35">
        <f t="shared" si="27"/>
        <v>56</v>
      </c>
      <c r="J98" s="35">
        <f t="shared" si="28"/>
        <v>56</v>
      </c>
      <c r="K98" s="9">
        <v>3</v>
      </c>
      <c r="L98" s="10">
        <v>3.3</v>
      </c>
      <c r="M98" s="6" t="s">
        <v>494</v>
      </c>
      <c r="N98" s="6" t="s">
        <v>494</v>
      </c>
      <c r="O98" s="4" t="s">
        <v>1974</v>
      </c>
      <c r="P98" s="6" t="s">
        <v>443</v>
      </c>
      <c r="Q98" s="12" t="s">
        <v>141</v>
      </c>
      <c r="R98" s="6" t="s">
        <v>141</v>
      </c>
      <c r="S98" s="9">
        <f t="shared" si="25"/>
        <v>47</v>
      </c>
      <c r="T98" s="9">
        <v>0</v>
      </c>
      <c r="U98" s="6" t="s">
        <v>141</v>
      </c>
      <c r="V98" s="9">
        <v>47</v>
      </c>
      <c r="W98" s="5" t="s">
        <v>258</v>
      </c>
      <c r="X98" s="29">
        <v>123</v>
      </c>
      <c r="Y98" s="5" t="s">
        <v>714</v>
      </c>
      <c r="Z98" s="30"/>
      <c r="AF98" s="3"/>
      <c r="AG98" s="3"/>
      <c r="AH98" s="3"/>
      <c r="AI98" s="3"/>
      <c r="AJ98" s="3"/>
      <c r="AK98" s="31"/>
    </row>
    <row r="99" spans="1:37" s="2" customFormat="1" ht="84" customHeight="1" x14ac:dyDescent="0.25">
      <c r="A99" s="71" t="s">
        <v>1094</v>
      </c>
      <c r="B99" s="28" t="s">
        <v>365</v>
      </c>
      <c r="C99" s="5" t="s">
        <v>1363</v>
      </c>
      <c r="D99" s="5" t="s">
        <v>2176</v>
      </c>
      <c r="E99" s="5" t="s">
        <v>119</v>
      </c>
      <c r="F99" s="4" t="s">
        <v>224</v>
      </c>
      <c r="G99" s="6" t="s">
        <v>118</v>
      </c>
      <c r="H99" s="35">
        <f t="shared" si="26"/>
        <v>24</v>
      </c>
      <c r="I99" s="35">
        <f t="shared" si="27"/>
        <v>56</v>
      </c>
      <c r="J99" s="35">
        <f t="shared" si="28"/>
        <v>56</v>
      </c>
      <c r="K99" s="9">
        <v>3</v>
      </c>
      <c r="L99" s="10">
        <v>3.3</v>
      </c>
      <c r="M99" s="6" t="s">
        <v>494</v>
      </c>
      <c r="N99" s="6" t="s">
        <v>494</v>
      </c>
      <c r="O99" s="4" t="s">
        <v>1974</v>
      </c>
      <c r="P99" s="6" t="s">
        <v>444</v>
      </c>
      <c r="Q99" s="12" t="s">
        <v>141</v>
      </c>
      <c r="R99" s="6" t="s">
        <v>141</v>
      </c>
      <c r="S99" s="9">
        <f t="shared" si="25"/>
        <v>94</v>
      </c>
      <c r="T99" s="9">
        <v>0</v>
      </c>
      <c r="U99" s="6" t="s">
        <v>141</v>
      </c>
      <c r="V99" s="9">
        <v>94</v>
      </c>
      <c r="W99" s="5" t="s">
        <v>256</v>
      </c>
      <c r="X99" s="29"/>
      <c r="Y99" s="5" t="s">
        <v>714</v>
      </c>
      <c r="Z99" s="30"/>
      <c r="AF99" s="3"/>
      <c r="AG99" s="3"/>
      <c r="AH99" s="3"/>
      <c r="AI99" s="3"/>
      <c r="AJ99" s="3"/>
      <c r="AK99" s="31"/>
    </row>
    <row r="100" spans="1:37" s="2" customFormat="1" ht="120.75" customHeight="1" x14ac:dyDescent="0.25">
      <c r="A100" s="71" t="s">
        <v>1095</v>
      </c>
      <c r="B100" s="28" t="s">
        <v>365</v>
      </c>
      <c r="C100" s="5" t="s">
        <v>1363</v>
      </c>
      <c r="D100" s="5" t="s">
        <v>2177</v>
      </c>
      <c r="E100" s="5" t="s">
        <v>317</v>
      </c>
      <c r="F100" s="4" t="s">
        <v>224</v>
      </c>
      <c r="G100" s="6" t="s">
        <v>118</v>
      </c>
      <c r="H100" s="35">
        <f t="shared" si="26"/>
        <v>24</v>
      </c>
      <c r="I100" s="35">
        <f t="shared" si="27"/>
        <v>56</v>
      </c>
      <c r="J100" s="35">
        <f t="shared" si="28"/>
        <v>56</v>
      </c>
      <c r="K100" s="9">
        <v>1</v>
      </c>
      <c r="L100" s="10">
        <v>8</v>
      </c>
      <c r="M100" s="6" t="s">
        <v>494</v>
      </c>
      <c r="N100" s="6" t="s">
        <v>494</v>
      </c>
      <c r="O100" s="4" t="s">
        <v>1974</v>
      </c>
      <c r="P100" s="6" t="s">
        <v>1603</v>
      </c>
      <c r="Q100" s="12" t="s">
        <v>141</v>
      </c>
      <c r="R100" s="6" t="s">
        <v>141</v>
      </c>
      <c r="S100" s="9">
        <f t="shared" si="25"/>
        <v>152</v>
      </c>
      <c r="T100" s="9">
        <v>0</v>
      </c>
      <c r="U100" s="6" t="s">
        <v>141</v>
      </c>
      <c r="V100" s="9">
        <v>152</v>
      </c>
      <c r="W100" s="5" t="s">
        <v>1940</v>
      </c>
      <c r="X100" s="87">
        <v>0</v>
      </c>
      <c r="Y100" s="5" t="s">
        <v>714</v>
      </c>
      <c r="Z100" s="30"/>
      <c r="AF100" s="3"/>
      <c r="AG100" s="3"/>
      <c r="AH100" s="3"/>
      <c r="AI100" s="3"/>
      <c r="AJ100" s="3"/>
      <c r="AK100" s="31"/>
    </row>
    <row r="101" spans="1:37" ht="68.25" customHeight="1" x14ac:dyDescent="0.25">
      <c r="A101" s="71" t="s">
        <v>1096</v>
      </c>
      <c r="B101" s="28" t="s">
        <v>365</v>
      </c>
      <c r="C101" s="5" t="s">
        <v>1413</v>
      </c>
      <c r="D101" s="4" t="s">
        <v>2178</v>
      </c>
      <c r="E101" s="5" t="s">
        <v>119</v>
      </c>
      <c r="F101" s="4" t="s">
        <v>650</v>
      </c>
      <c r="G101" s="6" t="s">
        <v>118</v>
      </c>
      <c r="H101" s="35">
        <f>3*2</f>
        <v>6</v>
      </c>
      <c r="I101" s="35">
        <f>7*6-H101</f>
        <v>36</v>
      </c>
      <c r="J101" s="35">
        <f>(2+3+2)*1.6*2</f>
        <v>22.400000000000002</v>
      </c>
      <c r="K101" s="9">
        <v>2</v>
      </c>
      <c r="L101" s="10">
        <v>2.2000000000000002</v>
      </c>
      <c r="M101" s="6" t="s">
        <v>494</v>
      </c>
      <c r="N101" s="6" t="s">
        <v>494</v>
      </c>
      <c r="O101" s="4" t="s">
        <v>1974</v>
      </c>
      <c r="P101" s="81"/>
      <c r="Q101" s="12" t="s">
        <v>141</v>
      </c>
      <c r="R101" s="6" t="s">
        <v>141</v>
      </c>
      <c r="S101" s="9">
        <f t="shared" si="25"/>
        <v>51</v>
      </c>
      <c r="T101" s="12" t="s">
        <v>197</v>
      </c>
      <c r="U101" s="6" t="s">
        <v>141</v>
      </c>
      <c r="V101" s="12" t="s">
        <v>338</v>
      </c>
      <c r="W101" s="6" t="s">
        <v>337</v>
      </c>
      <c r="Y101" s="5" t="s">
        <v>714</v>
      </c>
      <c r="Z101" s="45" t="s">
        <v>425</v>
      </c>
      <c r="AF101" s="3"/>
      <c r="AG101" s="3"/>
      <c r="AH101" s="3"/>
      <c r="AI101" s="3"/>
      <c r="AJ101" s="3"/>
      <c r="AK101" s="31"/>
    </row>
    <row r="102" spans="1:37" s="2" customFormat="1" ht="110.25" x14ac:dyDescent="0.25">
      <c r="A102" s="71" t="s">
        <v>1097</v>
      </c>
      <c r="B102" s="28" t="s">
        <v>365</v>
      </c>
      <c r="C102" s="5" t="s">
        <v>1363</v>
      </c>
      <c r="D102" s="5" t="s">
        <v>882</v>
      </c>
      <c r="E102" s="5" t="s">
        <v>392</v>
      </c>
      <c r="F102" s="4" t="s">
        <v>224</v>
      </c>
      <c r="G102" s="6" t="s">
        <v>118</v>
      </c>
      <c r="H102" s="35">
        <f t="shared" ref="H102:H109" si="29">6*4</f>
        <v>24</v>
      </c>
      <c r="I102" s="35">
        <f t="shared" ref="I102:I105" si="30">10*8-H102</f>
        <v>56</v>
      </c>
      <c r="J102" s="35">
        <f t="shared" ref="J102:J109" si="31">(4+6+4)*2*2</f>
        <v>56</v>
      </c>
      <c r="K102" s="9">
        <v>3</v>
      </c>
      <c r="L102" s="10">
        <v>3.3</v>
      </c>
      <c r="M102" s="6" t="s">
        <v>494</v>
      </c>
      <c r="N102" s="6" t="s">
        <v>494</v>
      </c>
      <c r="O102" s="4" t="s">
        <v>1974</v>
      </c>
      <c r="P102" s="6" t="s">
        <v>2200</v>
      </c>
      <c r="Q102" s="11">
        <v>0</v>
      </c>
      <c r="R102" s="6" t="s">
        <v>141</v>
      </c>
      <c r="S102" s="9">
        <f t="shared" si="25"/>
        <v>197</v>
      </c>
      <c r="T102" s="9">
        <v>0</v>
      </c>
      <c r="U102" s="6" t="s">
        <v>141</v>
      </c>
      <c r="V102" s="9">
        <v>197</v>
      </c>
      <c r="W102" s="5" t="s">
        <v>1429</v>
      </c>
      <c r="X102" s="29">
        <v>409</v>
      </c>
      <c r="Y102" s="5" t="s">
        <v>714</v>
      </c>
      <c r="Z102" s="30"/>
      <c r="AF102" s="3"/>
      <c r="AG102" s="3"/>
      <c r="AH102" s="3"/>
      <c r="AI102" s="3"/>
      <c r="AJ102" s="3"/>
      <c r="AK102" s="31"/>
    </row>
    <row r="103" spans="1:37" s="2" customFormat="1" ht="84" customHeight="1" x14ac:dyDescent="0.25">
      <c r="A103" s="71" t="s">
        <v>1098</v>
      </c>
      <c r="B103" s="28" t="s">
        <v>365</v>
      </c>
      <c r="C103" s="5" t="s">
        <v>1363</v>
      </c>
      <c r="D103" s="5" t="s">
        <v>883</v>
      </c>
      <c r="E103" s="5" t="s">
        <v>119</v>
      </c>
      <c r="F103" s="4" t="s">
        <v>224</v>
      </c>
      <c r="G103" s="6" t="s">
        <v>118</v>
      </c>
      <c r="H103" s="35">
        <f t="shared" si="29"/>
        <v>24</v>
      </c>
      <c r="I103" s="35">
        <f t="shared" si="30"/>
        <v>56</v>
      </c>
      <c r="J103" s="35">
        <f t="shared" si="31"/>
        <v>56</v>
      </c>
      <c r="K103" s="9">
        <v>1</v>
      </c>
      <c r="L103" s="10">
        <v>8</v>
      </c>
      <c r="M103" s="6" t="s">
        <v>494</v>
      </c>
      <c r="N103" s="6" t="s">
        <v>494</v>
      </c>
      <c r="O103" s="4" t="s">
        <v>1974</v>
      </c>
      <c r="P103" s="6" t="s">
        <v>1792</v>
      </c>
      <c r="Q103" s="11">
        <v>0</v>
      </c>
      <c r="R103" s="6" t="s">
        <v>141</v>
      </c>
      <c r="S103" s="9">
        <f t="shared" si="25"/>
        <v>51</v>
      </c>
      <c r="T103" s="9">
        <v>5</v>
      </c>
      <c r="U103" s="6" t="s">
        <v>261</v>
      </c>
      <c r="V103" s="9">
        <v>46</v>
      </c>
      <c r="W103" s="5" t="s">
        <v>1881</v>
      </c>
      <c r="X103" s="29">
        <v>170</v>
      </c>
      <c r="Y103" s="5" t="s">
        <v>714</v>
      </c>
      <c r="Z103" s="30"/>
      <c r="AF103" s="3"/>
      <c r="AG103" s="3"/>
      <c r="AH103" s="3"/>
      <c r="AI103" s="3"/>
      <c r="AJ103" s="3"/>
      <c r="AK103" s="31"/>
    </row>
    <row r="104" spans="1:37" s="2" customFormat="1" ht="109.5" customHeight="1" x14ac:dyDescent="0.25">
      <c r="A104" s="71" t="s">
        <v>1099</v>
      </c>
      <c r="B104" s="28" t="s">
        <v>365</v>
      </c>
      <c r="C104" s="5" t="s">
        <v>1363</v>
      </c>
      <c r="D104" s="5" t="s">
        <v>884</v>
      </c>
      <c r="E104" s="5" t="s">
        <v>119</v>
      </c>
      <c r="F104" s="4" t="s">
        <v>224</v>
      </c>
      <c r="G104" s="6" t="s">
        <v>118</v>
      </c>
      <c r="H104" s="35">
        <f t="shared" si="29"/>
        <v>24</v>
      </c>
      <c r="I104" s="35">
        <f t="shared" si="30"/>
        <v>56</v>
      </c>
      <c r="J104" s="35">
        <f t="shared" si="31"/>
        <v>56</v>
      </c>
      <c r="K104" s="9">
        <v>2</v>
      </c>
      <c r="L104" s="10">
        <v>16</v>
      </c>
      <c r="M104" s="6" t="s">
        <v>494</v>
      </c>
      <c r="N104" s="6" t="s">
        <v>494</v>
      </c>
      <c r="O104" s="4" t="s">
        <v>1974</v>
      </c>
      <c r="P104" s="6" t="s">
        <v>1604</v>
      </c>
      <c r="Q104" s="11">
        <v>0</v>
      </c>
      <c r="R104" s="6" t="s">
        <v>141</v>
      </c>
      <c r="S104" s="9">
        <f t="shared" si="25"/>
        <v>135</v>
      </c>
      <c r="T104" s="9">
        <v>0</v>
      </c>
      <c r="U104" s="6" t="s">
        <v>141</v>
      </c>
      <c r="V104" s="9">
        <f>187-(21+27+4)</f>
        <v>135</v>
      </c>
      <c r="W104" s="5" t="s">
        <v>1912</v>
      </c>
      <c r="X104" s="29"/>
      <c r="Y104" s="5" t="s">
        <v>714</v>
      </c>
      <c r="Z104" s="30"/>
      <c r="AF104" s="3"/>
      <c r="AG104" s="3"/>
      <c r="AH104" s="3"/>
      <c r="AI104" s="3"/>
      <c r="AJ104" s="3"/>
      <c r="AK104" s="31"/>
    </row>
    <row r="105" spans="1:37" s="2" customFormat="1" ht="84" customHeight="1" x14ac:dyDescent="0.25">
      <c r="A105" s="71" t="s">
        <v>1100</v>
      </c>
      <c r="B105" s="28" t="s">
        <v>365</v>
      </c>
      <c r="C105" s="5" t="s">
        <v>1363</v>
      </c>
      <c r="D105" s="5" t="s">
        <v>885</v>
      </c>
      <c r="E105" s="5" t="s">
        <v>385</v>
      </c>
      <c r="F105" s="4" t="s">
        <v>224</v>
      </c>
      <c r="G105" s="6" t="s">
        <v>118</v>
      </c>
      <c r="H105" s="35">
        <f t="shared" si="29"/>
        <v>24</v>
      </c>
      <c r="I105" s="35">
        <f t="shared" si="30"/>
        <v>56</v>
      </c>
      <c r="J105" s="35">
        <f t="shared" si="31"/>
        <v>56</v>
      </c>
      <c r="K105" s="9">
        <v>2</v>
      </c>
      <c r="L105" s="10">
        <v>16</v>
      </c>
      <c r="M105" s="6" t="s">
        <v>494</v>
      </c>
      <c r="N105" s="6" t="s">
        <v>494</v>
      </c>
      <c r="O105" s="5" t="s">
        <v>494</v>
      </c>
      <c r="P105" s="6" t="s">
        <v>702</v>
      </c>
      <c r="Q105" s="11">
        <v>0</v>
      </c>
      <c r="R105" s="6" t="s">
        <v>141</v>
      </c>
      <c r="S105" s="9">
        <f t="shared" si="25"/>
        <v>15</v>
      </c>
      <c r="T105" s="9">
        <v>0</v>
      </c>
      <c r="U105" s="6" t="s">
        <v>141</v>
      </c>
      <c r="V105" s="9">
        <v>15</v>
      </c>
      <c r="W105" s="5" t="s">
        <v>1880</v>
      </c>
      <c r="X105" s="29"/>
      <c r="Y105" s="5" t="s">
        <v>714</v>
      </c>
      <c r="Z105" s="30"/>
      <c r="AF105" s="3"/>
      <c r="AG105" s="3"/>
      <c r="AH105" s="3"/>
      <c r="AI105" s="3"/>
      <c r="AJ105" s="3"/>
      <c r="AK105" s="31"/>
    </row>
    <row r="106" spans="1:37" s="50" customFormat="1" ht="84" customHeight="1" x14ac:dyDescent="0.25">
      <c r="A106" s="71" t="s">
        <v>1101</v>
      </c>
      <c r="B106" s="28" t="s">
        <v>365</v>
      </c>
      <c r="C106" s="5" t="s">
        <v>1363</v>
      </c>
      <c r="D106" s="5" t="s">
        <v>852</v>
      </c>
      <c r="E106" s="5" t="s">
        <v>119</v>
      </c>
      <c r="F106" s="4" t="s">
        <v>224</v>
      </c>
      <c r="G106" s="6" t="s">
        <v>118</v>
      </c>
      <c r="H106" s="35">
        <f t="shared" si="29"/>
        <v>24</v>
      </c>
      <c r="I106" s="35">
        <f>10*8-H106</f>
        <v>56</v>
      </c>
      <c r="J106" s="35">
        <f t="shared" si="31"/>
        <v>56</v>
      </c>
      <c r="K106" s="9">
        <v>3</v>
      </c>
      <c r="L106" s="10">
        <v>3.3</v>
      </c>
      <c r="M106" s="6" t="s">
        <v>494</v>
      </c>
      <c r="N106" s="6" t="s">
        <v>494</v>
      </c>
      <c r="O106" s="5" t="s">
        <v>271</v>
      </c>
      <c r="P106" s="6" t="s">
        <v>445</v>
      </c>
      <c r="Q106" s="11">
        <v>0</v>
      </c>
      <c r="R106" s="6" t="s">
        <v>141</v>
      </c>
      <c r="S106" s="9">
        <f t="shared" si="25"/>
        <v>15</v>
      </c>
      <c r="T106" s="9">
        <v>5</v>
      </c>
      <c r="U106" s="5" t="s">
        <v>252</v>
      </c>
      <c r="V106" s="9">
        <v>10</v>
      </c>
      <c r="W106" s="5" t="s">
        <v>263</v>
      </c>
      <c r="X106" s="29">
        <f>149+18</f>
        <v>167</v>
      </c>
      <c r="Y106" s="5" t="s">
        <v>1687</v>
      </c>
      <c r="Z106" s="49"/>
      <c r="AF106" s="3"/>
      <c r="AG106" s="3"/>
      <c r="AH106" s="3"/>
      <c r="AI106" s="3"/>
      <c r="AJ106" s="3"/>
      <c r="AK106" s="31"/>
    </row>
    <row r="107" spans="1:37" s="50" customFormat="1" ht="84" customHeight="1" x14ac:dyDescent="0.25">
      <c r="A107" s="71" t="s">
        <v>1102</v>
      </c>
      <c r="B107" s="28" t="s">
        <v>365</v>
      </c>
      <c r="C107" s="5" t="s">
        <v>1363</v>
      </c>
      <c r="D107" s="5" t="s">
        <v>861</v>
      </c>
      <c r="E107" s="5" t="s">
        <v>388</v>
      </c>
      <c r="F107" s="4" t="s">
        <v>224</v>
      </c>
      <c r="G107" s="6" t="s">
        <v>118</v>
      </c>
      <c r="H107" s="35">
        <f t="shared" si="29"/>
        <v>24</v>
      </c>
      <c r="I107" s="35">
        <f t="shared" ref="I107:I109" si="32">10*8-H107</f>
        <v>56</v>
      </c>
      <c r="J107" s="35">
        <f t="shared" si="31"/>
        <v>56</v>
      </c>
      <c r="K107" s="9">
        <v>1</v>
      </c>
      <c r="L107" s="10">
        <v>8</v>
      </c>
      <c r="M107" s="6" t="s">
        <v>494</v>
      </c>
      <c r="N107" s="6" t="s">
        <v>494</v>
      </c>
      <c r="O107" s="4" t="s">
        <v>1974</v>
      </c>
      <c r="P107" s="6" t="s">
        <v>1605</v>
      </c>
      <c r="Q107" s="11">
        <v>0</v>
      </c>
      <c r="R107" s="6" t="s">
        <v>141</v>
      </c>
      <c r="S107" s="9">
        <f t="shared" si="25"/>
        <v>40</v>
      </c>
      <c r="T107" s="9">
        <v>0</v>
      </c>
      <c r="U107" s="6" t="s">
        <v>141</v>
      </c>
      <c r="V107" s="9">
        <v>40</v>
      </c>
      <c r="W107" s="5" t="s">
        <v>405</v>
      </c>
      <c r="X107" s="29">
        <v>164</v>
      </c>
      <c r="Y107" s="5" t="s">
        <v>714</v>
      </c>
      <c r="Z107" s="49"/>
      <c r="AF107" s="3"/>
      <c r="AG107" s="3"/>
      <c r="AH107" s="3"/>
      <c r="AI107" s="3"/>
      <c r="AJ107" s="3"/>
      <c r="AK107" s="31"/>
    </row>
    <row r="108" spans="1:37" s="50" customFormat="1" ht="84" customHeight="1" x14ac:dyDescent="0.35">
      <c r="A108" s="71" t="s">
        <v>1103</v>
      </c>
      <c r="B108" s="28" t="s">
        <v>365</v>
      </c>
      <c r="C108" s="5" t="s">
        <v>1363</v>
      </c>
      <c r="D108" s="5" t="s">
        <v>862</v>
      </c>
      <c r="E108" s="5" t="s">
        <v>410</v>
      </c>
      <c r="F108" s="4" t="s">
        <v>224</v>
      </c>
      <c r="G108" s="6" t="s">
        <v>118</v>
      </c>
      <c r="H108" s="35">
        <f t="shared" si="29"/>
        <v>24</v>
      </c>
      <c r="I108" s="35">
        <f t="shared" si="32"/>
        <v>56</v>
      </c>
      <c r="J108" s="35">
        <f t="shared" si="31"/>
        <v>56</v>
      </c>
      <c r="K108" s="9">
        <v>3</v>
      </c>
      <c r="L108" s="10">
        <v>3.3</v>
      </c>
      <c r="M108" s="6" t="s">
        <v>494</v>
      </c>
      <c r="N108" s="6" t="s">
        <v>494</v>
      </c>
      <c r="O108" s="4" t="s">
        <v>1974</v>
      </c>
      <c r="P108" s="6" t="s">
        <v>446</v>
      </c>
      <c r="Q108" s="11">
        <v>0</v>
      </c>
      <c r="R108" s="6" t="s">
        <v>141</v>
      </c>
      <c r="S108" s="9">
        <f t="shared" si="25"/>
        <v>40</v>
      </c>
      <c r="T108" s="9">
        <v>1</v>
      </c>
      <c r="U108" s="5" t="s">
        <v>262</v>
      </c>
      <c r="V108" s="9">
        <v>39</v>
      </c>
      <c r="W108" s="5" t="s">
        <v>408</v>
      </c>
      <c r="X108" s="29">
        <f>36+160</f>
        <v>196</v>
      </c>
      <c r="Y108" s="5" t="s">
        <v>714</v>
      </c>
      <c r="Z108" s="49"/>
      <c r="AA108" s="37" t="s">
        <v>409</v>
      </c>
      <c r="AF108" s="3"/>
      <c r="AG108" s="3"/>
      <c r="AH108" s="3"/>
      <c r="AI108" s="3"/>
      <c r="AJ108" s="3"/>
      <c r="AK108" s="31"/>
    </row>
    <row r="109" spans="1:37" s="50" customFormat="1" ht="110.25" x14ac:dyDescent="0.25">
      <c r="A109" s="71" t="s">
        <v>1104</v>
      </c>
      <c r="B109" s="28" t="s">
        <v>365</v>
      </c>
      <c r="C109" s="5" t="s">
        <v>1363</v>
      </c>
      <c r="D109" s="5" t="s">
        <v>898</v>
      </c>
      <c r="E109" s="5" t="s">
        <v>413</v>
      </c>
      <c r="F109" s="4" t="s">
        <v>224</v>
      </c>
      <c r="G109" s="6" t="s">
        <v>118</v>
      </c>
      <c r="H109" s="35">
        <f t="shared" si="29"/>
        <v>24</v>
      </c>
      <c r="I109" s="35">
        <f t="shared" si="32"/>
        <v>56</v>
      </c>
      <c r="J109" s="35">
        <f t="shared" si="31"/>
        <v>56</v>
      </c>
      <c r="K109" s="9">
        <v>6</v>
      </c>
      <c r="L109" s="10">
        <v>6.6</v>
      </c>
      <c r="M109" s="6" t="s">
        <v>494</v>
      </c>
      <c r="N109" s="6" t="s">
        <v>494</v>
      </c>
      <c r="O109" s="5" t="s">
        <v>267</v>
      </c>
      <c r="P109" s="6" t="s">
        <v>746</v>
      </c>
      <c r="Q109" s="11">
        <v>0</v>
      </c>
      <c r="R109" s="6" t="s">
        <v>141</v>
      </c>
      <c r="S109" s="9">
        <f t="shared" si="25"/>
        <v>40</v>
      </c>
      <c r="T109" s="9">
        <v>2</v>
      </c>
      <c r="U109" s="6" t="s">
        <v>1901</v>
      </c>
      <c r="V109" s="9">
        <v>38</v>
      </c>
      <c r="W109" s="5" t="s">
        <v>1892</v>
      </c>
      <c r="X109" s="29"/>
      <c r="Y109" s="5" t="s">
        <v>714</v>
      </c>
      <c r="Z109" s="49"/>
      <c r="AA109" s="89" t="s">
        <v>411</v>
      </c>
      <c r="AF109" s="3"/>
      <c r="AG109" s="3"/>
      <c r="AH109" s="3"/>
      <c r="AI109" s="3"/>
      <c r="AJ109" s="3"/>
      <c r="AK109" s="31"/>
    </row>
    <row r="110" spans="1:37" s="2" customFormat="1" ht="58.5" customHeight="1" x14ac:dyDescent="0.25">
      <c r="A110" s="71" t="s">
        <v>1105</v>
      </c>
      <c r="B110" s="28" t="s">
        <v>365</v>
      </c>
      <c r="C110" s="5" t="s">
        <v>1363</v>
      </c>
      <c r="D110" s="5" t="s">
        <v>1893</v>
      </c>
      <c r="E110" s="5" t="s">
        <v>414</v>
      </c>
      <c r="F110" s="5" t="s">
        <v>722</v>
      </c>
      <c r="G110" s="6" t="s">
        <v>118</v>
      </c>
      <c r="H110" s="84">
        <f>7.5*2*2</f>
        <v>30</v>
      </c>
      <c r="I110" s="84">
        <f>(11.5*6+11.5*6)-H110</f>
        <v>108</v>
      </c>
      <c r="J110" s="84">
        <f>(2+7.5+2+2)*2*1.6*2</f>
        <v>86.4</v>
      </c>
      <c r="K110" s="9">
        <v>9</v>
      </c>
      <c r="L110" s="10">
        <v>9.9</v>
      </c>
      <c r="M110" s="5" t="s">
        <v>494</v>
      </c>
      <c r="N110" s="5" t="s">
        <v>494</v>
      </c>
      <c r="O110" s="4" t="s">
        <v>1974</v>
      </c>
      <c r="P110" s="6" t="s">
        <v>1538</v>
      </c>
      <c r="Q110" s="11">
        <v>0</v>
      </c>
      <c r="R110" s="6" t="s">
        <v>141</v>
      </c>
      <c r="S110" s="9">
        <f t="shared" si="25"/>
        <v>5</v>
      </c>
      <c r="T110" s="9">
        <v>5</v>
      </c>
      <c r="U110" s="5" t="s">
        <v>251</v>
      </c>
      <c r="V110" s="9">
        <v>0</v>
      </c>
      <c r="W110" s="6" t="s">
        <v>141</v>
      </c>
      <c r="X110" s="29"/>
      <c r="Y110" s="5" t="s">
        <v>1687</v>
      </c>
      <c r="Z110" s="30" t="s">
        <v>425</v>
      </c>
      <c r="AA110" s="89" t="s">
        <v>412</v>
      </c>
      <c r="AF110" s="3"/>
      <c r="AG110" s="3"/>
      <c r="AH110" s="3"/>
      <c r="AI110" s="3"/>
      <c r="AJ110" s="3"/>
      <c r="AK110" s="31"/>
    </row>
    <row r="111" spans="1:37" ht="110.25" x14ac:dyDescent="0.25">
      <c r="A111" s="71" t="s">
        <v>1106</v>
      </c>
      <c r="B111" s="28" t="s">
        <v>365</v>
      </c>
      <c r="C111" s="5" t="s">
        <v>1413</v>
      </c>
      <c r="D111" s="4" t="s">
        <v>899</v>
      </c>
      <c r="E111" s="5" t="s">
        <v>721</v>
      </c>
      <c r="F111" s="4" t="s">
        <v>658</v>
      </c>
      <c r="G111" s="6" t="s">
        <v>118</v>
      </c>
      <c r="H111" s="35">
        <f>2*6</f>
        <v>12</v>
      </c>
      <c r="I111" s="35">
        <f>10*6-H111</f>
        <v>48</v>
      </c>
      <c r="J111" s="35">
        <f>(2+6+2+2)*1.6*2</f>
        <v>38.400000000000006</v>
      </c>
      <c r="K111" s="9">
        <v>3</v>
      </c>
      <c r="L111" s="10">
        <v>3.3</v>
      </c>
      <c r="M111" s="6" t="s">
        <v>494</v>
      </c>
      <c r="N111" s="6" t="s">
        <v>494</v>
      </c>
      <c r="O111" s="4" t="s">
        <v>1974</v>
      </c>
      <c r="P111" s="81"/>
      <c r="Q111" s="11">
        <v>0</v>
      </c>
      <c r="R111" s="6" t="s">
        <v>141</v>
      </c>
      <c r="S111" s="9">
        <f t="shared" ref="S111" si="33">T111+V111</f>
        <v>24</v>
      </c>
      <c r="T111" s="9">
        <v>1</v>
      </c>
      <c r="U111" s="6" t="s">
        <v>1895</v>
      </c>
      <c r="V111" s="11">
        <v>23</v>
      </c>
      <c r="W111" s="5" t="s">
        <v>1894</v>
      </c>
      <c r="X111" s="90"/>
      <c r="Y111" s="5" t="s">
        <v>714</v>
      </c>
      <c r="Z111" s="45" t="s">
        <v>425</v>
      </c>
    </row>
    <row r="112" spans="1:37" s="50" customFormat="1" ht="76.5" customHeight="1" x14ac:dyDescent="0.25">
      <c r="A112" s="71" t="s">
        <v>1107</v>
      </c>
      <c r="B112" s="28" t="s">
        <v>365</v>
      </c>
      <c r="C112" s="5" t="s">
        <v>1363</v>
      </c>
      <c r="D112" s="5" t="s">
        <v>879</v>
      </c>
      <c r="E112" s="5" t="s">
        <v>119</v>
      </c>
      <c r="F112" s="4" t="s">
        <v>224</v>
      </c>
      <c r="G112" s="6" t="s">
        <v>118</v>
      </c>
      <c r="H112" s="35">
        <f>6*4</f>
        <v>24</v>
      </c>
      <c r="I112" s="35">
        <f t="shared" ref="I112:I113" si="34">10*8-H112</f>
        <v>56</v>
      </c>
      <c r="J112" s="35">
        <f>(4+6+4)*2*2</f>
        <v>56</v>
      </c>
      <c r="K112" s="9">
        <v>1</v>
      </c>
      <c r="L112" s="10">
        <v>8</v>
      </c>
      <c r="M112" s="6" t="s">
        <v>494</v>
      </c>
      <c r="N112" s="6" t="s">
        <v>494</v>
      </c>
      <c r="O112" s="4" t="s">
        <v>1974</v>
      </c>
      <c r="P112" s="6" t="s">
        <v>1606</v>
      </c>
      <c r="Q112" s="11">
        <v>0</v>
      </c>
      <c r="R112" s="6" t="s">
        <v>141</v>
      </c>
      <c r="S112" s="9">
        <f>T112+V112</f>
        <v>54</v>
      </c>
      <c r="T112" s="9">
        <v>2</v>
      </c>
      <c r="U112" s="6" t="s">
        <v>298</v>
      </c>
      <c r="V112" s="9">
        <v>52</v>
      </c>
      <c r="W112" s="5" t="s">
        <v>406</v>
      </c>
      <c r="X112" s="29">
        <f>142+8</f>
        <v>150</v>
      </c>
      <c r="Y112" s="5" t="s">
        <v>714</v>
      </c>
      <c r="Z112" s="49"/>
      <c r="AF112" s="3"/>
      <c r="AG112" s="3"/>
      <c r="AH112" s="3"/>
      <c r="AI112" s="3"/>
      <c r="AJ112" s="3"/>
      <c r="AK112" s="31"/>
    </row>
    <row r="113" spans="1:37" s="50" customFormat="1" ht="110.25" x14ac:dyDescent="0.25">
      <c r="A113" s="71" t="s">
        <v>1108</v>
      </c>
      <c r="B113" s="28" t="s">
        <v>365</v>
      </c>
      <c r="C113" s="5" t="s">
        <v>1363</v>
      </c>
      <c r="D113" s="5" t="s">
        <v>880</v>
      </c>
      <c r="E113" s="5" t="s">
        <v>119</v>
      </c>
      <c r="F113" s="4" t="s">
        <v>224</v>
      </c>
      <c r="G113" s="6" t="s">
        <v>118</v>
      </c>
      <c r="H113" s="35">
        <f>6*4</f>
        <v>24</v>
      </c>
      <c r="I113" s="35">
        <f t="shared" si="34"/>
        <v>56</v>
      </c>
      <c r="J113" s="35">
        <f>(4+6+4)*2*2</f>
        <v>56</v>
      </c>
      <c r="K113" s="9">
        <v>1</v>
      </c>
      <c r="L113" s="10">
        <v>8</v>
      </c>
      <c r="M113" s="6" t="s">
        <v>494</v>
      </c>
      <c r="N113" s="6" t="s">
        <v>494</v>
      </c>
      <c r="O113" s="4" t="s">
        <v>1974</v>
      </c>
      <c r="P113" s="6" t="s">
        <v>2201</v>
      </c>
      <c r="Q113" s="11">
        <v>0</v>
      </c>
      <c r="R113" s="6" t="s">
        <v>141</v>
      </c>
      <c r="S113" s="9">
        <f>T113+V113</f>
        <v>41</v>
      </c>
      <c r="T113" s="9">
        <v>0</v>
      </c>
      <c r="U113" s="6" t="s">
        <v>141</v>
      </c>
      <c r="V113" s="9">
        <v>41</v>
      </c>
      <c r="W113" s="5" t="s">
        <v>299</v>
      </c>
      <c r="X113" s="29">
        <v>112</v>
      </c>
      <c r="Y113" s="5" t="s">
        <v>714</v>
      </c>
      <c r="Z113" s="49"/>
      <c r="AF113" s="3"/>
      <c r="AG113" s="3"/>
      <c r="AH113" s="3"/>
      <c r="AI113" s="3"/>
      <c r="AJ113" s="3"/>
      <c r="AK113" s="31"/>
    </row>
    <row r="114" spans="1:37" s="50" customFormat="1" ht="57.75" customHeight="1" x14ac:dyDescent="0.25">
      <c r="A114" s="71" t="s">
        <v>1109</v>
      </c>
      <c r="B114" s="28" t="s">
        <v>365</v>
      </c>
      <c r="C114" s="5" t="s">
        <v>1413</v>
      </c>
      <c r="D114" s="5" t="s">
        <v>881</v>
      </c>
      <c r="E114" s="5" t="s">
        <v>119</v>
      </c>
      <c r="F114" s="4" t="s">
        <v>664</v>
      </c>
      <c r="G114" s="6" t="s">
        <v>118</v>
      </c>
      <c r="H114" s="35">
        <f>4.5*2</f>
        <v>9</v>
      </c>
      <c r="I114" s="35">
        <f>8.5*6-H114</f>
        <v>42</v>
      </c>
      <c r="J114" s="35">
        <f>(2+4.5+2)*1.6*2</f>
        <v>27.200000000000003</v>
      </c>
      <c r="K114" s="9">
        <v>3</v>
      </c>
      <c r="L114" s="10">
        <v>3.3</v>
      </c>
      <c r="M114" s="6" t="s">
        <v>494</v>
      </c>
      <c r="N114" s="6" t="s">
        <v>494</v>
      </c>
      <c r="O114" s="4" t="s">
        <v>1974</v>
      </c>
      <c r="P114" s="6"/>
      <c r="Q114" s="11">
        <v>0</v>
      </c>
      <c r="R114" s="6" t="s">
        <v>141</v>
      </c>
      <c r="S114" s="9">
        <f>T114+V114</f>
        <v>38</v>
      </c>
      <c r="T114" s="9">
        <v>0</v>
      </c>
      <c r="U114" s="6" t="s">
        <v>141</v>
      </c>
      <c r="V114" s="9">
        <v>38</v>
      </c>
      <c r="W114" s="5" t="s">
        <v>297</v>
      </c>
      <c r="X114" s="91">
        <v>103</v>
      </c>
      <c r="Y114" s="5" t="s">
        <v>714</v>
      </c>
      <c r="Z114" s="49" t="s">
        <v>425</v>
      </c>
      <c r="AF114" s="3"/>
      <c r="AG114" s="3"/>
      <c r="AH114" s="3"/>
      <c r="AI114" s="3"/>
      <c r="AJ114" s="3"/>
      <c r="AK114" s="31"/>
    </row>
    <row r="115" spans="1:37" s="50" customFormat="1" ht="60.75" customHeight="1" x14ac:dyDescent="0.25">
      <c r="A115" s="71" t="s">
        <v>1110</v>
      </c>
      <c r="B115" s="28" t="s">
        <v>365</v>
      </c>
      <c r="C115" s="5" t="s">
        <v>1413</v>
      </c>
      <c r="D115" s="5" t="s">
        <v>858</v>
      </c>
      <c r="E115" s="5" t="s">
        <v>119</v>
      </c>
      <c r="F115" s="4" t="s">
        <v>658</v>
      </c>
      <c r="G115" s="6" t="s">
        <v>118</v>
      </c>
      <c r="H115" s="35">
        <f>2*6</f>
        <v>12</v>
      </c>
      <c r="I115" s="35">
        <f>10*6-H115</f>
        <v>48</v>
      </c>
      <c r="J115" s="35">
        <f>(2+6+2+2)*1.6*2</f>
        <v>38.400000000000006</v>
      </c>
      <c r="K115" s="9">
        <v>3</v>
      </c>
      <c r="L115" s="10">
        <v>3.3</v>
      </c>
      <c r="M115" s="6" t="s">
        <v>494</v>
      </c>
      <c r="N115" s="6" t="s">
        <v>494</v>
      </c>
      <c r="O115" s="4" t="s">
        <v>1974</v>
      </c>
      <c r="P115" s="6" t="s">
        <v>118</v>
      </c>
      <c r="Q115" s="11">
        <v>0</v>
      </c>
      <c r="R115" s="6" t="s">
        <v>141</v>
      </c>
      <c r="S115" s="9">
        <f>T115+V115</f>
        <v>51</v>
      </c>
      <c r="T115" s="9">
        <v>0</v>
      </c>
      <c r="U115" s="6" t="s">
        <v>141</v>
      </c>
      <c r="V115" s="9">
        <v>51</v>
      </c>
      <c r="W115" s="5" t="s">
        <v>300</v>
      </c>
      <c r="X115" s="91">
        <v>88</v>
      </c>
      <c r="Y115" s="5" t="s">
        <v>714</v>
      </c>
      <c r="Z115" s="49" t="s">
        <v>425</v>
      </c>
      <c r="AF115" s="3"/>
      <c r="AG115" s="3"/>
      <c r="AH115" s="3"/>
      <c r="AI115" s="3"/>
      <c r="AJ115" s="3"/>
      <c r="AK115" s="31"/>
    </row>
    <row r="116" spans="1:37" s="93" customFormat="1" ht="84" customHeight="1" x14ac:dyDescent="0.25">
      <c r="A116" s="71" t="s">
        <v>1111</v>
      </c>
      <c r="B116" s="28" t="s">
        <v>356</v>
      </c>
      <c r="C116" s="5" t="s">
        <v>1363</v>
      </c>
      <c r="D116" s="5" t="s">
        <v>889</v>
      </c>
      <c r="E116" s="5" t="s">
        <v>119</v>
      </c>
      <c r="F116" s="4" t="s">
        <v>253</v>
      </c>
      <c r="G116" s="6" t="s">
        <v>118</v>
      </c>
      <c r="H116" s="35">
        <f t="shared" ref="H116:H124" si="35">6*4</f>
        <v>24</v>
      </c>
      <c r="I116" s="35">
        <f t="shared" ref="I116:I124" si="36">10*8-H116</f>
        <v>56</v>
      </c>
      <c r="J116" s="35">
        <f t="shared" ref="J116:J124" si="37">(4+6+4)*2*2</f>
        <v>56</v>
      </c>
      <c r="K116" s="42">
        <v>1</v>
      </c>
      <c r="L116" s="92">
        <v>8</v>
      </c>
      <c r="M116" s="6" t="s">
        <v>494</v>
      </c>
      <c r="N116" s="6" t="s">
        <v>494</v>
      </c>
      <c r="O116" s="5" t="s">
        <v>267</v>
      </c>
      <c r="P116" s="6" t="s">
        <v>118</v>
      </c>
      <c r="Q116" s="12" t="s">
        <v>141</v>
      </c>
      <c r="R116" s="6" t="s">
        <v>141</v>
      </c>
      <c r="S116" s="42">
        <f t="shared" ref="S116:S122" si="38">V116+T116</f>
        <v>37</v>
      </c>
      <c r="T116" s="42">
        <v>0</v>
      </c>
      <c r="U116" s="5" t="s">
        <v>141</v>
      </c>
      <c r="V116" s="42">
        <v>37</v>
      </c>
      <c r="W116" s="5" t="s">
        <v>242</v>
      </c>
      <c r="X116" s="73">
        <v>100</v>
      </c>
      <c r="Y116" s="5" t="s">
        <v>714</v>
      </c>
      <c r="Z116" s="45"/>
      <c r="AF116" s="3"/>
      <c r="AG116" s="3"/>
      <c r="AH116" s="3"/>
      <c r="AI116" s="3"/>
      <c r="AJ116" s="3"/>
      <c r="AK116" s="31"/>
    </row>
    <row r="117" spans="1:37" s="93" customFormat="1" ht="84" customHeight="1" x14ac:dyDescent="0.25">
      <c r="A117" s="71" t="s">
        <v>1112</v>
      </c>
      <c r="B117" s="28" t="s">
        <v>356</v>
      </c>
      <c r="C117" s="5" t="s">
        <v>1363</v>
      </c>
      <c r="D117" s="5" t="s">
        <v>890</v>
      </c>
      <c r="E117" s="5" t="s">
        <v>119</v>
      </c>
      <c r="F117" s="4" t="s">
        <v>224</v>
      </c>
      <c r="G117" s="6" t="s">
        <v>118</v>
      </c>
      <c r="H117" s="35">
        <f t="shared" si="35"/>
        <v>24</v>
      </c>
      <c r="I117" s="35">
        <f t="shared" si="36"/>
        <v>56</v>
      </c>
      <c r="J117" s="35">
        <f t="shared" si="37"/>
        <v>56</v>
      </c>
      <c r="K117" s="42">
        <v>1</v>
      </c>
      <c r="L117" s="92">
        <v>8</v>
      </c>
      <c r="M117" s="6" t="s">
        <v>494</v>
      </c>
      <c r="N117" s="6" t="s">
        <v>494</v>
      </c>
      <c r="O117" s="5" t="s">
        <v>267</v>
      </c>
      <c r="P117" s="6" t="s">
        <v>118</v>
      </c>
      <c r="Q117" s="12" t="s">
        <v>141</v>
      </c>
      <c r="R117" s="6" t="s">
        <v>141</v>
      </c>
      <c r="S117" s="42">
        <f t="shared" si="38"/>
        <v>22</v>
      </c>
      <c r="T117" s="42">
        <v>1</v>
      </c>
      <c r="U117" s="5" t="s">
        <v>238</v>
      </c>
      <c r="V117" s="42">
        <v>21</v>
      </c>
      <c r="W117" s="5" t="s">
        <v>239</v>
      </c>
      <c r="X117" s="73">
        <v>150</v>
      </c>
      <c r="Y117" s="5" t="s">
        <v>714</v>
      </c>
      <c r="Z117" s="45"/>
      <c r="AF117" s="3"/>
      <c r="AG117" s="3"/>
      <c r="AH117" s="3"/>
      <c r="AI117" s="3"/>
      <c r="AJ117" s="3"/>
      <c r="AK117" s="31"/>
    </row>
    <row r="118" spans="1:37" s="93" customFormat="1" ht="84" customHeight="1" x14ac:dyDescent="0.25">
      <c r="A118" s="71" t="s">
        <v>1113</v>
      </c>
      <c r="B118" s="28" t="s">
        <v>356</v>
      </c>
      <c r="C118" s="5" t="s">
        <v>1363</v>
      </c>
      <c r="D118" s="5" t="s">
        <v>891</v>
      </c>
      <c r="E118" s="5" t="s">
        <v>119</v>
      </c>
      <c r="F118" s="4" t="s">
        <v>253</v>
      </c>
      <c r="G118" s="6" t="s">
        <v>118</v>
      </c>
      <c r="H118" s="35">
        <f t="shared" si="35"/>
        <v>24</v>
      </c>
      <c r="I118" s="35">
        <f t="shared" si="36"/>
        <v>56</v>
      </c>
      <c r="J118" s="35">
        <f t="shared" si="37"/>
        <v>56</v>
      </c>
      <c r="K118" s="42">
        <v>1</v>
      </c>
      <c r="L118" s="92">
        <v>8</v>
      </c>
      <c r="M118" s="6" t="s">
        <v>494</v>
      </c>
      <c r="N118" s="6" t="s">
        <v>494</v>
      </c>
      <c r="O118" s="5" t="s">
        <v>267</v>
      </c>
      <c r="P118" s="6" t="s">
        <v>118</v>
      </c>
      <c r="Q118" s="12" t="s">
        <v>141</v>
      </c>
      <c r="R118" s="6" t="s">
        <v>141</v>
      </c>
      <c r="S118" s="42">
        <f t="shared" si="38"/>
        <v>32</v>
      </c>
      <c r="T118" s="42">
        <v>8</v>
      </c>
      <c r="U118" s="5" t="s">
        <v>235</v>
      </c>
      <c r="V118" s="42">
        <v>24</v>
      </c>
      <c r="W118" s="5" t="s">
        <v>234</v>
      </c>
      <c r="X118" s="73">
        <v>400</v>
      </c>
      <c r="Y118" s="5" t="s">
        <v>714</v>
      </c>
      <c r="Z118" s="45"/>
      <c r="AF118" s="3"/>
      <c r="AG118" s="3"/>
      <c r="AH118" s="3"/>
      <c r="AI118" s="3"/>
      <c r="AJ118" s="3"/>
      <c r="AK118" s="31"/>
    </row>
    <row r="119" spans="1:37" s="93" customFormat="1" ht="84" customHeight="1" x14ac:dyDescent="0.25">
      <c r="A119" s="71" t="s">
        <v>1114</v>
      </c>
      <c r="B119" s="28" t="s">
        <v>356</v>
      </c>
      <c r="C119" s="5" t="s">
        <v>1363</v>
      </c>
      <c r="D119" s="5" t="s">
        <v>892</v>
      </c>
      <c r="E119" s="5" t="s">
        <v>119</v>
      </c>
      <c r="F119" s="4" t="s">
        <v>224</v>
      </c>
      <c r="G119" s="6" t="s">
        <v>118</v>
      </c>
      <c r="H119" s="35">
        <f t="shared" si="35"/>
        <v>24</v>
      </c>
      <c r="I119" s="35">
        <f t="shared" si="36"/>
        <v>56</v>
      </c>
      <c r="J119" s="35">
        <f t="shared" si="37"/>
        <v>56</v>
      </c>
      <c r="K119" s="42">
        <v>2</v>
      </c>
      <c r="L119" s="92">
        <v>8</v>
      </c>
      <c r="M119" s="6" t="s">
        <v>494</v>
      </c>
      <c r="N119" s="6" t="s">
        <v>494</v>
      </c>
      <c r="O119" s="5" t="s">
        <v>267</v>
      </c>
      <c r="P119" s="6" t="s">
        <v>118</v>
      </c>
      <c r="Q119" s="12" t="s">
        <v>141</v>
      </c>
      <c r="R119" s="6" t="s">
        <v>141</v>
      </c>
      <c r="S119" s="42">
        <f t="shared" si="38"/>
        <v>74</v>
      </c>
      <c r="T119" s="42">
        <v>0</v>
      </c>
      <c r="U119" s="5" t="s">
        <v>141</v>
      </c>
      <c r="V119" s="42">
        <v>74</v>
      </c>
      <c r="W119" s="5" t="s">
        <v>240</v>
      </c>
      <c r="X119" s="73">
        <v>350</v>
      </c>
      <c r="Y119" s="5" t="s">
        <v>714</v>
      </c>
      <c r="Z119" s="45"/>
      <c r="AF119" s="3"/>
      <c r="AG119" s="3"/>
      <c r="AH119" s="3"/>
      <c r="AI119" s="3"/>
      <c r="AJ119" s="3"/>
      <c r="AK119" s="31"/>
    </row>
    <row r="120" spans="1:37" s="93" customFormat="1" ht="84" customHeight="1" x14ac:dyDescent="0.25">
      <c r="A120" s="71" t="s">
        <v>1115</v>
      </c>
      <c r="B120" s="28" t="s">
        <v>356</v>
      </c>
      <c r="C120" s="5" t="s">
        <v>1363</v>
      </c>
      <c r="D120" s="5" t="s">
        <v>893</v>
      </c>
      <c r="E120" s="5" t="s">
        <v>119</v>
      </c>
      <c r="F120" s="4" t="s">
        <v>253</v>
      </c>
      <c r="G120" s="6" t="s">
        <v>118</v>
      </c>
      <c r="H120" s="35">
        <f t="shared" si="35"/>
        <v>24</v>
      </c>
      <c r="I120" s="35">
        <f t="shared" si="36"/>
        <v>56</v>
      </c>
      <c r="J120" s="35">
        <f t="shared" si="37"/>
        <v>56</v>
      </c>
      <c r="K120" s="42">
        <v>1</v>
      </c>
      <c r="L120" s="92">
        <v>8</v>
      </c>
      <c r="M120" s="6" t="s">
        <v>494</v>
      </c>
      <c r="N120" s="6" t="s">
        <v>494</v>
      </c>
      <c r="O120" s="5" t="s">
        <v>267</v>
      </c>
      <c r="P120" s="6" t="s">
        <v>118</v>
      </c>
      <c r="Q120" s="12" t="s">
        <v>141</v>
      </c>
      <c r="R120" s="6" t="s">
        <v>141</v>
      </c>
      <c r="S120" s="42">
        <f t="shared" si="38"/>
        <v>66</v>
      </c>
      <c r="T120" s="42">
        <v>0</v>
      </c>
      <c r="U120" s="5" t="s">
        <v>141</v>
      </c>
      <c r="V120" s="42">
        <v>66</v>
      </c>
      <c r="W120" s="5" t="s">
        <v>241</v>
      </c>
      <c r="X120" s="73">
        <v>200</v>
      </c>
      <c r="Y120" s="5" t="s">
        <v>714</v>
      </c>
      <c r="Z120" s="45"/>
      <c r="AF120" s="3"/>
      <c r="AG120" s="3"/>
      <c r="AH120" s="3"/>
      <c r="AI120" s="3"/>
      <c r="AJ120" s="3"/>
      <c r="AK120" s="31"/>
    </row>
    <row r="121" spans="1:37" s="93" customFormat="1" ht="84" customHeight="1" x14ac:dyDescent="0.25">
      <c r="A121" s="71" t="s">
        <v>1116</v>
      </c>
      <c r="B121" s="28" t="s">
        <v>356</v>
      </c>
      <c r="C121" s="5" t="s">
        <v>1363</v>
      </c>
      <c r="D121" s="5" t="s">
        <v>894</v>
      </c>
      <c r="E121" s="5" t="s">
        <v>119</v>
      </c>
      <c r="F121" s="4" t="s">
        <v>253</v>
      </c>
      <c r="G121" s="6" t="s">
        <v>118</v>
      </c>
      <c r="H121" s="35">
        <f t="shared" si="35"/>
        <v>24</v>
      </c>
      <c r="I121" s="35">
        <f t="shared" si="36"/>
        <v>56</v>
      </c>
      <c r="J121" s="35">
        <f t="shared" si="37"/>
        <v>56</v>
      </c>
      <c r="K121" s="42">
        <v>1</v>
      </c>
      <c r="L121" s="92">
        <v>8</v>
      </c>
      <c r="M121" s="6" t="s">
        <v>494</v>
      </c>
      <c r="N121" s="6" t="s">
        <v>494</v>
      </c>
      <c r="O121" s="5" t="s">
        <v>267</v>
      </c>
      <c r="P121" s="6" t="s">
        <v>118</v>
      </c>
      <c r="Q121" s="12" t="s">
        <v>141</v>
      </c>
      <c r="R121" s="6" t="s">
        <v>141</v>
      </c>
      <c r="S121" s="42">
        <f t="shared" si="38"/>
        <v>36</v>
      </c>
      <c r="T121" s="42">
        <v>1</v>
      </c>
      <c r="U121" s="5" t="s">
        <v>236</v>
      </c>
      <c r="V121" s="42">
        <v>35</v>
      </c>
      <c r="W121" s="5" t="s">
        <v>237</v>
      </c>
      <c r="X121" s="73">
        <v>200</v>
      </c>
      <c r="Y121" s="5" t="s">
        <v>714</v>
      </c>
      <c r="Z121" s="45"/>
      <c r="AF121" s="3"/>
      <c r="AG121" s="3"/>
      <c r="AH121" s="3"/>
      <c r="AI121" s="3"/>
      <c r="AJ121" s="3"/>
      <c r="AK121" s="31"/>
    </row>
    <row r="122" spans="1:37" s="93" customFormat="1" ht="84" customHeight="1" x14ac:dyDescent="0.25">
      <c r="A122" s="71" t="s">
        <v>1117</v>
      </c>
      <c r="B122" s="28" t="s">
        <v>356</v>
      </c>
      <c r="C122" s="5" t="s">
        <v>1363</v>
      </c>
      <c r="D122" s="5" t="s">
        <v>895</v>
      </c>
      <c r="E122" s="5" t="s">
        <v>119</v>
      </c>
      <c r="F122" s="4" t="s">
        <v>253</v>
      </c>
      <c r="G122" s="6" t="s">
        <v>118</v>
      </c>
      <c r="H122" s="35">
        <f t="shared" si="35"/>
        <v>24</v>
      </c>
      <c r="I122" s="35">
        <f t="shared" si="36"/>
        <v>56</v>
      </c>
      <c r="J122" s="35">
        <f t="shared" si="37"/>
        <v>56</v>
      </c>
      <c r="K122" s="42">
        <v>2</v>
      </c>
      <c r="L122" s="92">
        <v>8</v>
      </c>
      <c r="M122" s="6" t="s">
        <v>494</v>
      </c>
      <c r="N122" s="6" t="s">
        <v>494</v>
      </c>
      <c r="O122" s="5" t="s">
        <v>494</v>
      </c>
      <c r="P122" s="6" t="s">
        <v>1593</v>
      </c>
      <c r="Q122" s="12" t="s">
        <v>141</v>
      </c>
      <c r="R122" s="6" t="s">
        <v>141</v>
      </c>
      <c r="S122" s="42">
        <f t="shared" si="38"/>
        <v>22</v>
      </c>
      <c r="T122" s="42">
        <v>6</v>
      </c>
      <c r="U122" s="5" t="s">
        <v>232</v>
      </c>
      <c r="V122" s="42">
        <v>16</v>
      </c>
      <c r="W122" s="5" t="s">
        <v>233</v>
      </c>
      <c r="X122" s="73">
        <v>410</v>
      </c>
      <c r="Y122" s="5" t="s">
        <v>714</v>
      </c>
      <c r="Z122" s="45"/>
      <c r="AF122" s="3"/>
      <c r="AG122" s="3"/>
      <c r="AH122" s="3"/>
      <c r="AI122" s="3"/>
      <c r="AJ122" s="3"/>
      <c r="AK122" s="31"/>
    </row>
    <row r="123" spans="1:37" s="50" customFormat="1" ht="84" customHeight="1" x14ac:dyDescent="0.25">
      <c r="A123" s="71" t="s">
        <v>1118</v>
      </c>
      <c r="B123" s="28" t="s">
        <v>356</v>
      </c>
      <c r="C123" s="5" t="s">
        <v>1363</v>
      </c>
      <c r="D123" s="5" t="s">
        <v>124</v>
      </c>
      <c r="E123" s="5" t="s">
        <v>119</v>
      </c>
      <c r="F123" s="4" t="s">
        <v>253</v>
      </c>
      <c r="G123" s="6" t="s">
        <v>118</v>
      </c>
      <c r="H123" s="35">
        <f t="shared" si="35"/>
        <v>24</v>
      </c>
      <c r="I123" s="35">
        <f t="shared" si="36"/>
        <v>56</v>
      </c>
      <c r="J123" s="35">
        <f t="shared" si="37"/>
        <v>56</v>
      </c>
      <c r="K123" s="42">
        <v>1</v>
      </c>
      <c r="L123" s="92">
        <v>8</v>
      </c>
      <c r="M123" s="6" t="s">
        <v>494</v>
      </c>
      <c r="N123" s="6" t="s">
        <v>494</v>
      </c>
      <c r="O123" s="5" t="s">
        <v>267</v>
      </c>
      <c r="P123" s="6" t="s">
        <v>118</v>
      </c>
      <c r="Q123" s="12" t="s">
        <v>141</v>
      </c>
      <c r="R123" s="6" t="s">
        <v>141</v>
      </c>
      <c r="S123" s="42">
        <f>V123+T123</f>
        <v>46</v>
      </c>
      <c r="T123" s="42">
        <v>0</v>
      </c>
      <c r="U123" s="5" t="s">
        <v>141</v>
      </c>
      <c r="V123" s="42">
        <v>46</v>
      </c>
      <c r="W123" s="5" t="s">
        <v>123</v>
      </c>
      <c r="X123" s="73">
        <v>70</v>
      </c>
      <c r="Y123" s="5" t="s">
        <v>714</v>
      </c>
      <c r="Z123" s="49"/>
      <c r="AF123" s="3"/>
      <c r="AG123" s="3"/>
      <c r="AH123" s="3"/>
      <c r="AI123" s="3"/>
      <c r="AJ123" s="3"/>
      <c r="AK123" s="31"/>
    </row>
    <row r="124" spans="1:37" s="50" customFormat="1" ht="97.5" customHeight="1" x14ac:dyDescent="0.25">
      <c r="A124" s="71" t="s">
        <v>1119</v>
      </c>
      <c r="B124" s="28" t="s">
        <v>357</v>
      </c>
      <c r="C124" s="5" t="s">
        <v>1363</v>
      </c>
      <c r="D124" s="4" t="s">
        <v>856</v>
      </c>
      <c r="E124" s="5" t="s">
        <v>119</v>
      </c>
      <c r="F124" s="4" t="s">
        <v>253</v>
      </c>
      <c r="G124" s="6" t="s">
        <v>118</v>
      </c>
      <c r="H124" s="35">
        <f t="shared" si="35"/>
        <v>24</v>
      </c>
      <c r="I124" s="35">
        <f t="shared" si="36"/>
        <v>56</v>
      </c>
      <c r="J124" s="35">
        <f t="shared" si="37"/>
        <v>56</v>
      </c>
      <c r="K124" s="9">
        <v>2</v>
      </c>
      <c r="L124" s="10">
        <v>16</v>
      </c>
      <c r="M124" s="6" t="s">
        <v>494</v>
      </c>
      <c r="N124" s="6" t="s">
        <v>494</v>
      </c>
      <c r="O124" s="5" t="s">
        <v>267</v>
      </c>
      <c r="P124" s="6" t="s">
        <v>118</v>
      </c>
      <c r="Q124" s="12" t="s">
        <v>141</v>
      </c>
      <c r="R124" s="6" t="s">
        <v>141</v>
      </c>
      <c r="S124" s="9">
        <f t="shared" ref="S124:S125" si="39">T124+V124</f>
        <v>42</v>
      </c>
      <c r="T124" s="9">
        <v>0</v>
      </c>
      <c r="U124" s="6" t="s">
        <v>141</v>
      </c>
      <c r="V124" s="9">
        <v>42</v>
      </c>
      <c r="W124" s="5" t="s">
        <v>1854</v>
      </c>
      <c r="X124" s="73">
        <v>520</v>
      </c>
      <c r="Y124" s="5" t="s">
        <v>714</v>
      </c>
      <c r="Z124" s="49"/>
      <c r="AF124" s="3"/>
      <c r="AG124" s="3"/>
      <c r="AH124" s="3"/>
      <c r="AI124" s="3"/>
      <c r="AJ124" s="3"/>
      <c r="AK124" s="31"/>
    </row>
    <row r="125" spans="1:37" ht="110.25" x14ac:dyDescent="0.25">
      <c r="A125" s="71" t="s">
        <v>1120</v>
      </c>
      <c r="B125" s="28" t="s">
        <v>357</v>
      </c>
      <c r="C125" s="5" t="s">
        <v>1363</v>
      </c>
      <c r="D125" s="4" t="s">
        <v>857</v>
      </c>
      <c r="E125" s="5" t="s">
        <v>119</v>
      </c>
      <c r="F125" s="4" t="s">
        <v>254</v>
      </c>
      <c r="G125" s="6" t="s">
        <v>118</v>
      </c>
      <c r="H125" s="35">
        <f>3*6</f>
        <v>18</v>
      </c>
      <c r="I125" s="35">
        <f>7*10-H125</f>
        <v>52</v>
      </c>
      <c r="J125" s="35">
        <f>(3+6+3)*2*2</f>
        <v>48</v>
      </c>
      <c r="K125" s="9">
        <v>3</v>
      </c>
      <c r="L125" s="10">
        <v>3.3</v>
      </c>
      <c r="M125" s="6" t="s">
        <v>494</v>
      </c>
      <c r="N125" s="6" t="s">
        <v>494</v>
      </c>
      <c r="O125" s="4" t="s">
        <v>1974</v>
      </c>
      <c r="P125" s="6" t="s">
        <v>447</v>
      </c>
      <c r="Q125" s="12" t="s">
        <v>141</v>
      </c>
      <c r="R125" s="6" t="s">
        <v>141</v>
      </c>
      <c r="S125" s="9">
        <f t="shared" si="39"/>
        <v>93</v>
      </c>
      <c r="T125" s="9">
        <v>0</v>
      </c>
      <c r="U125" s="6" t="s">
        <v>141</v>
      </c>
      <c r="V125" s="9">
        <v>93</v>
      </c>
      <c r="W125" s="5" t="s">
        <v>321</v>
      </c>
      <c r="Y125" s="5" t="s">
        <v>714</v>
      </c>
      <c r="AF125" s="3"/>
      <c r="AG125" s="3"/>
      <c r="AH125" s="3"/>
      <c r="AI125" s="3"/>
      <c r="AJ125" s="3"/>
      <c r="AK125" s="31"/>
    </row>
    <row r="126" spans="1:37" ht="58.5" customHeight="1" x14ac:dyDescent="0.25">
      <c r="A126" s="71" t="s">
        <v>1121</v>
      </c>
      <c r="B126" s="28" t="s">
        <v>357</v>
      </c>
      <c r="C126" s="5" t="s">
        <v>1413</v>
      </c>
      <c r="D126" s="5" t="s">
        <v>733</v>
      </c>
      <c r="E126" s="5" t="s">
        <v>119</v>
      </c>
      <c r="F126" s="4" t="s">
        <v>659</v>
      </c>
      <c r="G126" s="6" t="s">
        <v>118</v>
      </c>
      <c r="H126" s="35">
        <f>4.5*2</f>
        <v>9</v>
      </c>
      <c r="I126" s="35">
        <f>8.5*6-H126</f>
        <v>42</v>
      </c>
      <c r="J126" s="35">
        <f>(2+4.5+2)*1.6*2</f>
        <v>27.200000000000003</v>
      </c>
      <c r="K126" s="9">
        <v>3</v>
      </c>
      <c r="L126" s="10">
        <v>3.3</v>
      </c>
      <c r="M126" s="6" t="s">
        <v>494</v>
      </c>
      <c r="N126" s="6" t="s">
        <v>494</v>
      </c>
      <c r="O126" s="4" t="s">
        <v>1974</v>
      </c>
      <c r="P126" s="81"/>
      <c r="Q126" s="12" t="s">
        <v>141</v>
      </c>
      <c r="R126" s="6" t="s">
        <v>141</v>
      </c>
      <c r="S126" s="9">
        <f t="shared" ref="S126:S128" si="40">T126+V126</f>
        <v>5</v>
      </c>
      <c r="T126" s="9">
        <v>5</v>
      </c>
      <c r="U126" s="6" t="s">
        <v>343</v>
      </c>
      <c r="V126" s="9">
        <v>0</v>
      </c>
      <c r="W126" s="6" t="s">
        <v>141</v>
      </c>
      <c r="Y126" s="5" t="s">
        <v>714</v>
      </c>
      <c r="Z126" s="45" t="s">
        <v>425</v>
      </c>
      <c r="AF126" s="3"/>
      <c r="AG126" s="3"/>
      <c r="AH126" s="3"/>
      <c r="AI126" s="3"/>
      <c r="AJ126" s="3"/>
      <c r="AK126" s="31"/>
    </row>
    <row r="127" spans="1:37" ht="73.5" customHeight="1" x14ac:dyDescent="0.25">
      <c r="A127" s="71" t="s">
        <v>1122</v>
      </c>
      <c r="B127" s="28" t="s">
        <v>357</v>
      </c>
      <c r="C127" s="5" t="s">
        <v>1413</v>
      </c>
      <c r="D127" s="5" t="s">
        <v>866</v>
      </c>
      <c r="E127" s="5" t="s">
        <v>119</v>
      </c>
      <c r="F127" s="4" t="s">
        <v>663</v>
      </c>
      <c r="G127" s="6" t="s">
        <v>118</v>
      </c>
      <c r="H127" s="35">
        <f>9*2</f>
        <v>18</v>
      </c>
      <c r="I127" s="35">
        <f>13*6-H127</f>
        <v>60</v>
      </c>
      <c r="J127" s="35">
        <f>(2+9+2+2)*1.6*2</f>
        <v>48</v>
      </c>
      <c r="K127" s="9">
        <v>5</v>
      </c>
      <c r="L127" s="10">
        <v>5.5</v>
      </c>
      <c r="M127" s="6" t="s">
        <v>494</v>
      </c>
      <c r="N127" s="6" t="s">
        <v>494</v>
      </c>
      <c r="O127" s="4" t="s">
        <v>1974</v>
      </c>
      <c r="P127" s="81"/>
      <c r="Q127" s="12" t="s">
        <v>141</v>
      </c>
      <c r="R127" s="6" t="s">
        <v>141</v>
      </c>
      <c r="S127" s="9">
        <f t="shared" si="40"/>
        <v>4</v>
      </c>
      <c r="T127" s="9">
        <v>4</v>
      </c>
      <c r="U127" s="6" t="s">
        <v>1139</v>
      </c>
      <c r="V127" s="9">
        <v>0</v>
      </c>
      <c r="W127" s="6" t="s">
        <v>141</v>
      </c>
      <c r="Y127" s="5" t="s">
        <v>714</v>
      </c>
      <c r="Z127" s="45" t="s">
        <v>425</v>
      </c>
      <c r="AF127" s="3"/>
      <c r="AG127" s="3"/>
      <c r="AH127" s="3"/>
      <c r="AI127" s="3"/>
      <c r="AJ127" s="3"/>
      <c r="AK127" s="31"/>
    </row>
    <row r="128" spans="1:37" ht="61.5" customHeight="1" x14ac:dyDescent="0.25">
      <c r="A128" s="71" t="s">
        <v>1123</v>
      </c>
      <c r="B128" s="28" t="s">
        <v>357</v>
      </c>
      <c r="C128" s="5" t="s">
        <v>1413</v>
      </c>
      <c r="D128" s="5" t="s">
        <v>867</v>
      </c>
      <c r="E128" s="5" t="s">
        <v>119</v>
      </c>
      <c r="F128" s="4" t="s">
        <v>664</v>
      </c>
      <c r="G128" s="6" t="s">
        <v>118</v>
      </c>
      <c r="H128" s="35">
        <f>4.5*2</f>
        <v>9</v>
      </c>
      <c r="I128" s="35">
        <f t="shared" ref="I128:I129" si="41">8.5*6-H128</f>
        <v>42</v>
      </c>
      <c r="J128" s="35">
        <f>(2+4.5+2+2)*1.6*2</f>
        <v>33.6</v>
      </c>
      <c r="K128" s="9">
        <v>2</v>
      </c>
      <c r="L128" s="10">
        <v>2.2000000000000002</v>
      </c>
      <c r="M128" s="6" t="s">
        <v>494</v>
      </c>
      <c r="N128" s="6" t="s">
        <v>494</v>
      </c>
      <c r="O128" s="4" t="s">
        <v>1974</v>
      </c>
      <c r="P128" s="81"/>
      <c r="Q128" s="12" t="s">
        <v>141</v>
      </c>
      <c r="R128" s="6" t="s">
        <v>141</v>
      </c>
      <c r="S128" s="9">
        <f t="shared" si="40"/>
        <v>18</v>
      </c>
      <c r="T128" s="9">
        <v>5</v>
      </c>
      <c r="U128" s="6" t="s">
        <v>1142</v>
      </c>
      <c r="V128" s="9">
        <v>13</v>
      </c>
      <c r="W128" s="5" t="s">
        <v>1141</v>
      </c>
      <c r="Y128" s="5" t="s">
        <v>714</v>
      </c>
      <c r="Z128" s="45" t="s">
        <v>425</v>
      </c>
      <c r="AF128" s="3"/>
      <c r="AG128" s="3"/>
      <c r="AH128" s="3"/>
      <c r="AI128" s="3"/>
      <c r="AJ128" s="3"/>
      <c r="AK128" s="31"/>
    </row>
    <row r="129" spans="1:37" ht="57" customHeight="1" x14ac:dyDescent="0.25">
      <c r="A129" s="71" t="s">
        <v>1124</v>
      </c>
      <c r="B129" s="28" t="s">
        <v>357</v>
      </c>
      <c r="C129" s="5" t="s">
        <v>1413</v>
      </c>
      <c r="D129" s="5" t="s">
        <v>868</v>
      </c>
      <c r="E129" s="5" t="s">
        <v>119</v>
      </c>
      <c r="F129" s="4" t="s">
        <v>664</v>
      </c>
      <c r="G129" s="6" t="s">
        <v>118</v>
      </c>
      <c r="H129" s="35">
        <f>4.5*2</f>
        <v>9</v>
      </c>
      <c r="I129" s="35">
        <f t="shared" si="41"/>
        <v>42</v>
      </c>
      <c r="J129" s="35">
        <f>(2+4.5+2)*1.6*2</f>
        <v>27.200000000000003</v>
      </c>
      <c r="K129" s="9">
        <v>2</v>
      </c>
      <c r="L129" s="10">
        <v>2.2000000000000002</v>
      </c>
      <c r="M129" s="6" t="s">
        <v>494</v>
      </c>
      <c r="N129" s="6" t="s">
        <v>494</v>
      </c>
      <c r="O129" s="4" t="s">
        <v>1974</v>
      </c>
      <c r="P129" s="81"/>
      <c r="Q129" s="12" t="s">
        <v>141</v>
      </c>
      <c r="R129" s="6" t="s">
        <v>141</v>
      </c>
      <c r="S129" s="9">
        <f t="shared" ref="S129:S135" si="42">T129+V129</f>
        <v>15</v>
      </c>
      <c r="T129" s="9">
        <v>0</v>
      </c>
      <c r="U129" s="6" t="s">
        <v>141</v>
      </c>
      <c r="V129" s="9">
        <v>15</v>
      </c>
      <c r="W129" s="5" t="s">
        <v>342</v>
      </c>
      <c r="Y129" s="5" t="s">
        <v>714</v>
      </c>
      <c r="Z129" s="45" t="s">
        <v>425</v>
      </c>
      <c r="AF129" s="3"/>
      <c r="AG129" s="3"/>
      <c r="AH129" s="3"/>
      <c r="AI129" s="3"/>
      <c r="AJ129" s="3"/>
      <c r="AK129" s="31"/>
    </row>
    <row r="130" spans="1:37" ht="64.5" customHeight="1" x14ac:dyDescent="0.25">
      <c r="A130" s="71" t="s">
        <v>1125</v>
      </c>
      <c r="B130" s="28" t="s">
        <v>357</v>
      </c>
      <c r="C130" s="5" t="s">
        <v>1413</v>
      </c>
      <c r="D130" s="5" t="s">
        <v>869</v>
      </c>
      <c r="E130" s="5" t="s">
        <v>119</v>
      </c>
      <c r="F130" s="4" t="s">
        <v>660</v>
      </c>
      <c r="G130" s="6" t="s">
        <v>118</v>
      </c>
      <c r="H130" s="35">
        <f>7.5*2</f>
        <v>15</v>
      </c>
      <c r="I130" s="35">
        <f>11.5*6-H130</f>
        <v>54</v>
      </c>
      <c r="J130" s="35">
        <f>(2+7.5+2+2)*1.6*2</f>
        <v>43.2</v>
      </c>
      <c r="K130" s="9">
        <v>4</v>
      </c>
      <c r="L130" s="10">
        <v>4.4000000000000004</v>
      </c>
      <c r="M130" s="6" t="s">
        <v>494</v>
      </c>
      <c r="N130" s="6" t="s">
        <v>494</v>
      </c>
      <c r="O130" s="4" t="s">
        <v>1974</v>
      </c>
      <c r="P130" s="81"/>
      <c r="Q130" s="12" t="s">
        <v>141</v>
      </c>
      <c r="R130" s="6" t="s">
        <v>141</v>
      </c>
      <c r="S130" s="9">
        <f t="shared" si="42"/>
        <v>4</v>
      </c>
      <c r="T130" s="9">
        <v>4</v>
      </c>
      <c r="U130" s="6" t="s">
        <v>341</v>
      </c>
      <c r="V130" s="9">
        <v>0</v>
      </c>
      <c r="W130" s="6" t="s">
        <v>141</v>
      </c>
      <c r="Y130" s="5" t="s">
        <v>714</v>
      </c>
      <c r="Z130" s="45" t="s">
        <v>425</v>
      </c>
      <c r="AF130" s="3"/>
      <c r="AG130" s="3"/>
      <c r="AH130" s="3"/>
      <c r="AI130" s="3"/>
      <c r="AJ130" s="3"/>
      <c r="AK130" s="31"/>
    </row>
    <row r="131" spans="1:37" ht="59.25" customHeight="1" x14ac:dyDescent="0.25">
      <c r="A131" s="71" t="s">
        <v>1126</v>
      </c>
      <c r="B131" s="28" t="s">
        <v>357</v>
      </c>
      <c r="C131" s="5" t="s">
        <v>1413</v>
      </c>
      <c r="D131" s="5" t="s">
        <v>853</v>
      </c>
      <c r="E131" s="5" t="s">
        <v>358</v>
      </c>
      <c r="F131" s="4" t="s">
        <v>664</v>
      </c>
      <c r="G131" s="6" t="s">
        <v>118</v>
      </c>
      <c r="H131" s="35">
        <f>4.5*2</f>
        <v>9</v>
      </c>
      <c r="I131" s="35">
        <f>8.5*6-H131</f>
        <v>42</v>
      </c>
      <c r="J131" s="35">
        <f>(2+4.5+2)*1.6*2</f>
        <v>27.200000000000003</v>
      </c>
      <c r="K131" s="9">
        <v>2</v>
      </c>
      <c r="L131" s="10">
        <v>2.2000000000000002</v>
      </c>
      <c r="M131" s="6" t="s">
        <v>494</v>
      </c>
      <c r="N131" s="6" t="s">
        <v>494</v>
      </c>
      <c r="O131" s="4" t="s">
        <v>1974</v>
      </c>
      <c r="P131" s="81"/>
      <c r="Q131" s="12" t="s">
        <v>141</v>
      </c>
      <c r="R131" s="6" t="s">
        <v>141</v>
      </c>
      <c r="S131" s="9">
        <f t="shared" si="42"/>
        <v>14</v>
      </c>
      <c r="T131" s="9">
        <v>0</v>
      </c>
      <c r="U131" s="6" t="s">
        <v>141</v>
      </c>
      <c r="V131" s="9">
        <v>14</v>
      </c>
      <c r="W131" s="5" t="s">
        <v>359</v>
      </c>
      <c r="Y131" s="5" t="s">
        <v>714</v>
      </c>
      <c r="Z131" s="45" t="s">
        <v>425</v>
      </c>
      <c r="AF131" s="3"/>
      <c r="AG131" s="3"/>
      <c r="AH131" s="3"/>
      <c r="AI131" s="3"/>
      <c r="AJ131" s="3"/>
      <c r="AK131" s="31"/>
    </row>
    <row r="132" spans="1:37" ht="61.5" customHeight="1" x14ac:dyDescent="0.25">
      <c r="A132" s="71" t="s">
        <v>1127</v>
      </c>
      <c r="B132" s="28" t="s">
        <v>357</v>
      </c>
      <c r="C132" s="5" t="s">
        <v>1413</v>
      </c>
      <c r="D132" s="4" t="s">
        <v>854</v>
      </c>
      <c r="E132" s="5" t="s">
        <v>119</v>
      </c>
      <c r="F132" s="4" t="s">
        <v>660</v>
      </c>
      <c r="G132" s="6" t="s">
        <v>118</v>
      </c>
      <c r="H132" s="35">
        <f>7.5*2</f>
        <v>15</v>
      </c>
      <c r="I132" s="35">
        <f>11.5*6-H132</f>
        <v>54</v>
      </c>
      <c r="J132" s="35">
        <f>(2+7.5+2+2)*1.6*2</f>
        <v>43.2</v>
      </c>
      <c r="K132" s="9">
        <v>4</v>
      </c>
      <c r="L132" s="10">
        <v>4.4000000000000004</v>
      </c>
      <c r="M132" s="6" t="s">
        <v>494</v>
      </c>
      <c r="N132" s="6" t="s">
        <v>494</v>
      </c>
      <c r="O132" s="4" t="s">
        <v>1974</v>
      </c>
      <c r="P132" s="81"/>
      <c r="Q132" s="12" t="s">
        <v>141</v>
      </c>
      <c r="R132" s="6" t="s">
        <v>141</v>
      </c>
      <c r="S132" s="9">
        <f t="shared" si="42"/>
        <v>65</v>
      </c>
      <c r="T132" s="9">
        <v>0</v>
      </c>
      <c r="U132" s="6" t="s">
        <v>141</v>
      </c>
      <c r="V132" s="9">
        <v>65</v>
      </c>
      <c r="W132" s="5" t="s">
        <v>339</v>
      </c>
      <c r="X132" s="88">
        <v>285</v>
      </c>
      <c r="Y132" s="5" t="s">
        <v>714</v>
      </c>
      <c r="Z132" s="45" t="s">
        <v>425</v>
      </c>
      <c r="AF132" s="3"/>
      <c r="AG132" s="3"/>
      <c r="AH132" s="3"/>
      <c r="AI132" s="3"/>
      <c r="AJ132" s="3"/>
      <c r="AK132" s="31"/>
    </row>
    <row r="133" spans="1:37" ht="58.5" customHeight="1" x14ac:dyDescent="0.25">
      <c r="A133" s="71" t="s">
        <v>1128</v>
      </c>
      <c r="B133" s="28" t="s">
        <v>357</v>
      </c>
      <c r="C133" s="5" t="s">
        <v>1413</v>
      </c>
      <c r="D133" s="4" t="s">
        <v>855</v>
      </c>
      <c r="E133" s="5" t="s">
        <v>119</v>
      </c>
      <c r="F133" s="4" t="s">
        <v>650</v>
      </c>
      <c r="G133" s="6" t="s">
        <v>118</v>
      </c>
      <c r="H133" s="35">
        <f>3*2</f>
        <v>6</v>
      </c>
      <c r="I133" s="35">
        <f>7*6-H133</f>
        <v>36</v>
      </c>
      <c r="J133" s="35">
        <f>(2+3+2)*1.6*2</f>
        <v>22.400000000000002</v>
      </c>
      <c r="K133" s="9">
        <v>2</v>
      </c>
      <c r="L133" s="10">
        <v>2.2000000000000002</v>
      </c>
      <c r="M133" s="6" t="s">
        <v>494</v>
      </c>
      <c r="N133" s="6" t="s">
        <v>494</v>
      </c>
      <c r="O133" s="4" t="s">
        <v>1974</v>
      </c>
      <c r="P133" s="81"/>
      <c r="Q133" s="12" t="s">
        <v>141</v>
      </c>
      <c r="R133" s="6" t="s">
        <v>141</v>
      </c>
      <c r="S133" s="9">
        <f t="shared" si="42"/>
        <v>15</v>
      </c>
      <c r="T133" s="9">
        <v>0</v>
      </c>
      <c r="U133" s="6" t="s">
        <v>141</v>
      </c>
      <c r="V133" s="9">
        <v>15</v>
      </c>
      <c r="W133" s="5" t="s">
        <v>340</v>
      </c>
      <c r="Y133" s="5" t="s">
        <v>714</v>
      </c>
      <c r="Z133" s="45" t="s">
        <v>425</v>
      </c>
      <c r="AF133" s="3"/>
      <c r="AG133" s="3"/>
      <c r="AH133" s="3"/>
      <c r="AI133" s="3"/>
      <c r="AJ133" s="3"/>
      <c r="AK133" s="31"/>
    </row>
    <row r="134" spans="1:37" ht="39.75" customHeight="1" x14ac:dyDescent="0.25">
      <c r="A134" s="71" t="s">
        <v>1129</v>
      </c>
      <c r="B134" s="28" t="s">
        <v>365</v>
      </c>
      <c r="C134" s="5" t="s">
        <v>1588</v>
      </c>
      <c r="D134" s="4" t="s">
        <v>1497</v>
      </c>
      <c r="E134" s="5" t="s">
        <v>325</v>
      </c>
      <c r="F134" s="6" t="s">
        <v>141</v>
      </c>
      <c r="G134" s="6"/>
      <c r="H134" s="32"/>
      <c r="I134" s="32"/>
      <c r="J134" s="32"/>
      <c r="K134" s="6" t="s">
        <v>141</v>
      </c>
      <c r="L134" s="6" t="s">
        <v>141</v>
      </c>
      <c r="M134" s="6" t="s">
        <v>141</v>
      </c>
      <c r="N134" s="6" t="s">
        <v>141</v>
      </c>
      <c r="O134" s="33"/>
      <c r="P134" s="34"/>
      <c r="Q134" s="6" t="s">
        <v>141</v>
      </c>
      <c r="R134" s="6" t="s">
        <v>141</v>
      </c>
      <c r="S134" s="6" t="s">
        <v>141</v>
      </c>
      <c r="T134" s="6" t="s">
        <v>141</v>
      </c>
      <c r="U134" s="6" t="s">
        <v>141</v>
      </c>
      <c r="V134" s="6" t="s">
        <v>141</v>
      </c>
      <c r="W134" s="6" t="s">
        <v>141</v>
      </c>
      <c r="X134" s="94">
        <v>111</v>
      </c>
      <c r="Y134" s="5"/>
      <c r="AF134" s="3"/>
      <c r="AG134" s="3"/>
      <c r="AH134" s="3"/>
      <c r="AI134" s="3"/>
      <c r="AJ134" s="3"/>
      <c r="AK134" s="31"/>
    </row>
    <row r="135" spans="1:37" ht="89.25" customHeight="1" x14ac:dyDescent="0.25">
      <c r="A135" s="71" t="s">
        <v>1130</v>
      </c>
      <c r="B135" s="28" t="s">
        <v>365</v>
      </c>
      <c r="C135" s="5" t="s">
        <v>1363</v>
      </c>
      <c r="D135" s="4" t="s">
        <v>864</v>
      </c>
      <c r="E135" s="5" t="s">
        <v>325</v>
      </c>
      <c r="F135" s="4" t="s">
        <v>224</v>
      </c>
      <c r="G135" s="6"/>
      <c r="H135" s="35">
        <f>6*4</f>
        <v>24</v>
      </c>
      <c r="I135" s="35">
        <f>10*8-H135</f>
        <v>56</v>
      </c>
      <c r="J135" s="35">
        <f>(4+6+4)*2*2</f>
        <v>56</v>
      </c>
      <c r="K135" s="9">
        <v>4</v>
      </c>
      <c r="L135" s="10">
        <v>4.4000000000000004</v>
      </c>
      <c r="M135" s="6" t="s">
        <v>494</v>
      </c>
      <c r="N135" s="6" t="s">
        <v>494</v>
      </c>
      <c r="O135" s="4" t="s">
        <v>1974</v>
      </c>
      <c r="P135" s="6" t="s">
        <v>2202</v>
      </c>
      <c r="Q135" s="12" t="s">
        <v>141</v>
      </c>
      <c r="R135" s="6" t="s">
        <v>141</v>
      </c>
      <c r="S135" s="9">
        <f t="shared" si="42"/>
        <v>65</v>
      </c>
      <c r="T135" s="12" t="s">
        <v>197</v>
      </c>
      <c r="U135" s="6" t="s">
        <v>141</v>
      </c>
      <c r="V135" s="12" t="s">
        <v>735</v>
      </c>
      <c r="W135" s="6" t="s">
        <v>736</v>
      </c>
      <c r="X135" s="94">
        <v>87</v>
      </c>
      <c r="Y135" s="5" t="s">
        <v>714</v>
      </c>
      <c r="AF135" s="3"/>
      <c r="AG135" s="3"/>
      <c r="AH135" s="3"/>
      <c r="AI135" s="3"/>
      <c r="AJ135" s="3"/>
      <c r="AK135" s="31"/>
    </row>
    <row r="136" spans="1:37" ht="73.5" customHeight="1" x14ac:dyDescent="0.25">
      <c r="A136" s="71" t="s">
        <v>1131</v>
      </c>
      <c r="B136" s="28" t="s">
        <v>365</v>
      </c>
      <c r="C136" s="5" t="s">
        <v>1413</v>
      </c>
      <c r="D136" s="4" t="s">
        <v>1003</v>
      </c>
      <c r="E136" s="5" t="s">
        <v>495</v>
      </c>
      <c r="F136" s="4" t="s">
        <v>664</v>
      </c>
      <c r="G136" s="6" t="s">
        <v>118</v>
      </c>
      <c r="H136" s="35">
        <f>4.5*2</f>
        <v>9</v>
      </c>
      <c r="I136" s="35">
        <f>8.5*6-H136</f>
        <v>42</v>
      </c>
      <c r="J136" s="35">
        <f>(2+4.5+2+2)*1.6*2</f>
        <v>33.6</v>
      </c>
      <c r="K136" s="9">
        <v>2</v>
      </c>
      <c r="L136" s="10">
        <v>2.2000000000000002</v>
      </c>
      <c r="M136" s="6" t="s">
        <v>494</v>
      </c>
      <c r="N136" s="6" t="s">
        <v>494</v>
      </c>
      <c r="O136" s="4" t="s">
        <v>1974</v>
      </c>
      <c r="P136" s="81"/>
      <c r="Q136" s="12" t="s">
        <v>141</v>
      </c>
      <c r="R136" s="6" t="s">
        <v>141</v>
      </c>
      <c r="S136" s="9">
        <f t="shared" ref="S136:S138" si="43">T136+V136</f>
        <v>59</v>
      </c>
      <c r="T136" s="9">
        <v>0</v>
      </c>
      <c r="U136" s="6" t="s">
        <v>141</v>
      </c>
      <c r="V136" s="11">
        <v>59</v>
      </c>
      <c r="W136" s="6" t="s">
        <v>497</v>
      </c>
      <c r="X136" s="82">
        <v>73</v>
      </c>
      <c r="Y136" s="5" t="s">
        <v>714</v>
      </c>
      <c r="Z136" s="45" t="s">
        <v>425</v>
      </c>
      <c r="AF136" s="3"/>
      <c r="AG136" s="3"/>
      <c r="AH136" s="3"/>
      <c r="AI136" s="3"/>
      <c r="AJ136" s="3"/>
      <c r="AK136" s="31"/>
    </row>
    <row r="137" spans="1:37" ht="73.5" customHeight="1" x14ac:dyDescent="0.25">
      <c r="A137" s="71" t="s">
        <v>1132</v>
      </c>
      <c r="B137" s="28" t="s">
        <v>365</v>
      </c>
      <c r="C137" s="5" t="s">
        <v>1413</v>
      </c>
      <c r="D137" s="4" t="s">
        <v>1498</v>
      </c>
      <c r="E137" s="5" t="s">
        <v>495</v>
      </c>
      <c r="F137" s="4" t="s">
        <v>660</v>
      </c>
      <c r="G137" s="6" t="s">
        <v>118</v>
      </c>
      <c r="H137" s="35">
        <f>7.5*2</f>
        <v>15</v>
      </c>
      <c r="I137" s="35">
        <f>11.5*6-H137</f>
        <v>54</v>
      </c>
      <c r="J137" s="35">
        <f>(2+7.5+2+2)*1.6*2</f>
        <v>43.2</v>
      </c>
      <c r="K137" s="9">
        <v>4</v>
      </c>
      <c r="L137" s="10">
        <v>4.4000000000000004</v>
      </c>
      <c r="M137" s="6" t="s">
        <v>494</v>
      </c>
      <c r="N137" s="6" t="s">
        <v>494</v>
      </c>
      <c r="O137" s="4" t="s">
        <v>1974</v>
      </c>
      <c r="P137" s="81"/>
      <c r="Q137" s="12" t="s">
        <v>141</v>
      </c>
      <c r="R137" s="6" t="s">
        <v>141</v>
      </c>
      <c r="S137" s="9">
        <f t="shared" si="43"/>
        <v>109</v>
      </c>
      <c r="T137" s="9">
        <v>0</v>
      </c>
      <c r="U137" s="6" t="s">
        <v>141</v>
      </c>
      <c r="V137" s="11">
        <v>109</v>
      </c>
      <c r="W137" s="6" t="s">
        <v>737</v>
      </c>
      <c r="X137" s="82">
        <v>57</v>
      </c>
      <c r="Y137" s="5" t="s">
        <v>714</v>
      </c>
      <c r="Z137" s="45" t="s">
        <v>425</v>
      </c>
      <c r="AF137" s="3"/>
      <c r="AG137" s="3"/>
      <c r="AH137" s="3"/>
      <c r="AI137" s="3"/>
      <c r="AJ137" s="3"/>
      <c r="AK137" s="31"/>
    </row>
    <row r="138" spans="1:37" ht="73.5" customHeight="1" x14ac:dyDescent="0.25">
      <c r="A138" s="71" t="s">
        <v>1133</v>
      </c>
      <c r="B138" s="28" t="s">
        <v>365</v>
      </c>
      <c r="C138" s="5" t="s">
        <v>1413</v>
      </c>
      <c r="D138" s="4" t="s">
        <v>865</v>
      </c>
      <c r="E138" s="5" t="s">
        <v>496</v>
      </c>
      <c r="F138" s="4" t="s">
        <v>664</v>
      </c>
      <c r="G138" s="6" t="s">
        <v>118</v>
      </c>
      <c r="H138" s="35">
        <f>4.5*2</f>
        <v>9</v>
      </c>
      <c r="I138" s="35">
        <f t="shared" ref="I138:I139" si="44">8.5*6-H138</f>
        <v>42</v>
      </c>
      <c r="J138" s="35">
        <f>(2+4.5+2+2)*1.6*2</f>
        <v>33.6</v>
      </c>
      <c r="K138" s="9">
        <v>2</v>
      </c>
      <c r="L138" s="10">
        <v>2.2000000000000002</v>
      </c>
      <c r="M138" s="6" t="s">
        <v>494</v>
      </c>
      <c r="N138" s="6" t="s">
        <v>494</v>
      </c>
      <c r="O138" s="4" t="s">
        <v>1974</v>
      </c>
      <c r="P138" s="81"/>
      <c r="Q138" s="12" t="s">
        <v>141</v>
      </c>
      <c r="R138" s="6" t="s">
        <v>141</v>
      </c>
      <c r="S138" s="9">
        <f t="shared" si="43"/>
        <v>48</v>
      </c>
      <c r="T138" s="9">
        <v>0</v>
      </c>
      <c r="U138" s="6" t="s">
        <v>141</v>
      </c>
      <c r="V138" s="11">
        <v>48</v>
      </c>
      <c r="W138" s="6" t="s">
        <v>738</v>
      </c>
      <c r="X138" s="82">
        <v>31</v>
      </c>
      <c r="Y138" s="5" t="s">
        <v>714</v>
      </c>
      <c r="Z138" s="45" t="s">
        <v>425</v>
      </c>
      <c r="AF138" s="3"/>
      <c r="AG138" s="3"/>
      <c r="AH138" s="3"/>
      <c r="AI138" s="3"/>
      <c r="AJ138" s="3"/>
      <c r="AK138" s="31"/>
    </row>
    <row r="139" spans="1:37" ht="110.25" x14ac:dyDescent="0.25">
      <c r="A139" s="71" t="s">
        <v>1143</v>
      </c>
      <c r="B139" s="28" t="s">
        <v>365</v>
      </c>
      <c r="C139" s="5" t="s">
        <v>1413</v>
      </c>
      <c r="D139" s="4" t="s">
        <v>1004</v>
      </c>
      <c r="E139" s="5" t="s">
        <v>648</v>
      </c>
      <c r="F139" s="4" t="s">
        <v>662</v>
      </c>
      <c r="G139" s="6" t="s">
        <v>118</v>
      </c>
      <c r="H139" s="35">
        <f>4.5*2</f>
        <v>9</v>
      </c>
      <c r="I139" s="35">
        <f t="shared" si="44"/>
        <v>42</v>
      </c>
      <c r="J139" s="35">
        <f>(2+4.5+2+2)*1.6*2</f>
        <v>33.6</v>
      </c>
      <c r="K139" s="9">
        <v>2</v>
      </c>
      <c r="L139" s="10">
        <v>2.2000000000000002</v>
      </c>
      <c r="M139" s="6" t="s">
        <v>494</v>
      </c>
      <c r="N139" s="6" t="s">
        <v>494</v>
      </c>
      <c r="O139" s="4" t="s">
        <v>1974</v>
      </c>
      <c r="P139" s="81"/>
      <c r="Q139" s="12" t="s">
        <v>141</v>
      </c>
      <c r="R139" s="6" t="s">
        <v>141</v>
      </c>
      <c r="S139" s="9">
        <f t="shared" ref="S139" si="45">T139+V139</f>
        <v>62</v>
      </c>
      <c r="T139" s="9">
        <v>0</v>
      </c>
      <c r="U139" s="6" t="s">
        <v>141</v>
      </c>
      <c r="V139" s="11">
        <v>62</v>
      </c>
      <c r="W139" s="6" t="s">
        <v>649</v>
      </c>
      <c r="X139" s="82">
        <v>28</v>
      </c>
      <c r="Y139" s="5" t="s">
        <v>714</v>
      </c>
      <c r="Z139" s="45" t="s">
        <v>425</v>
      </c>
    </row>
    <row r="140" spans="1:37" ht="66.75" customHeight="1" x14ac:dyDescent="0.25">
      <c r="A140" s="71" t="s">
        <v>1144</v>
      </c>
      <c r="B140" s="28" t="s">
        <v>365</v>
      </c>
      <c r="C140" s="5" t="s">
        <v>1363</v>
      </c>
      <c r="D140" s="4" t="s">
        <v>863</v>
      </c>
      <c r="E140" s="5" t="s">
        <v>326</v>
      </c>
      <c r="F140" s="4" t="s">
        <v>224</v>
      </c>
      <c r="G140" s="6"/>
      <c r="H140" s="35">
        <f>6*4</f>
        <v>24</v>
      </c>
      <c r="I140" s="35">
        <f>10*8-H140</f>
        <v>56</v>
      </c>
      <c r="J140" s="35">
        <f>(4+6+4)*2*2</f>
        <v>56</v>
      </c>
      <c r="K140" s="9">
        <v>2</v>
      </c>
      <c r="L140" s="10">
        <v>16</v>
      </c>
      <c r="M140" s="6" t="s">
        <v>494</v>
      </c>
      <c r="N140" s="6" t="s">
        <v>494</v>
      </c>
      <c r="O140" s="5" t="s">
        <v>494</v>
      </c>
      <c r="P140" s="6"/>
      <c r="Q140" s="12" t="s">
        <v>141</v>
      </c>
      <c r="R140" s="6" t="s">
        <v>141</v>
      </c>
      <c r="S140" s="9">
        <f t="shared" ref="S140:S142" si="46">T140+V140</f>
        <v>94</v>
      </c>
      <c r="T140" s="12" t="s">
        <v>197</v>
      </c>
      <c r="U140" s="6" t="s">
        <v>141</v>
      </c>
      <c r="V140" s="12" t="s">
        <v>327</v>
      </c>
      <c r="W140" s="6" t="s">
        <v>328</v>
      </c>
      <c r="X140" s="95">
        <v>142</v>
      </c>
      <c r="Y140" s="5" t="s">
        <v>714</v>
      </c>
      <c r="AF140" s="3"/>
      <c r="AG140" s="3"/>
      <c r="AH140" s="3"/>
      <c r="AI140" s="3"/>
      <c r="AJ140" s="3"/>
      <c r="AK140" s="31"/>
    </row>
    <row r="141" spans="1:37" ht="94.5" x14ac:dyDescent="0.25">
      <c r="A141" s="71" t="s">
        <v>1145</v>
      </c>
      <c r="B141" s="28" t="s">
        <v>365</v>
      </c>
      <c r="C141" s="5" t="s">
        <v>1363</v>
      </c>
      <c r="D141" s="4" t="s">
        <v>1647</v>
      </c>
      <c r="E141" s="5" t="s">
        <v>119</v>
      </c>
      <c r="F141" s="4" t="s">
        <v>1649</v>
      </c>
      <c r="G141" s="6"/>
      <c r="H141" s="35">
        <f>4.85*2.75</f>
        <v>13.337499999999999</v>
      </c>
      <c r="I141" s="35"/>
      <c r="J141" s="35">
        <f>(2.75*3+4.85)*2</f>
        <v>26.2</v>
      </c>
      <c r="K141" s="9">
        <v>1</v>
      </c>
      <c r="L141" s="10">
        <v>1.1000000000000001</v>
      </c>
      <c r="M141" s="6" t="s">
        <v>1650</v>
      </c>
      <c r="N141" s="6" t="s">
        <v>1650</v>
      </c>
      <c r="O141" s="4" t="s">
        <v>1974</v>
      </c>
      <c r="P141" s="34"/>
      <c r="Q141" s="6" t="s">
        <v>141</v>
      </c>
      <c r="R141" s="6" t="s">
        <v>141</v>
      </c>
      <c r="S141" s="9">
        <f t="shared" si="46"/>
        <v>1</v>
      </c>
      <c r="T141" s="9">
        <v>1</v>
      </c>
      <c r="U141" s="6" t="s">
        <v>1652</v>
      </c>
      <c r="V141" s="9">
        <v>0</v>
      </c>
      <c r="W141" s="6" t="s">
        <v>141</v>
      </c>
      <c r="X141" s="88">
        <v>50</v>
      </c>
      <c r="Y141" s="5" t="s">
        <v>1687</v>
      </c>
    </row>
    <row r="142" spans="1:37" ht="94.5" x14ac:dyDescent="0.25">
      <c r="A142" s="71" t="s">
        <v>1411</v>
      </c>
      <c r="B142" s="28" t="s">
        <v>365</v>
      </c>
      <c r="C142" s="5" t="s">
        <v>1363</v>
      </c>
      <c r="D142" s="4" t="s">
        <v>1648</v>
      </c>
      <c r="E142" s="5" t="s">
        <v>119</v>
      </c>
      <c r="F142" s="4" t="s">
        <v>1649</v>
      </c>
      <c r="G142" s="6"/>
      <c r="H142" s="35">
        <f>4.85*2.75</f>
        <v>13.337499999999999</v>
      </c>
      <c r="I142" s="35"/>
      <c r="J142" s="35">
        <f>(2.75*3+4.85)*2</f>
        <v>26.2</v>
      </c>
      <c r="K142" s="9">
        <v>1</v>
      </c>
      <c r="L142" s="10">
        <v>1.1000000000000001</v>
      </c>
      <c r="M142" s="6" t="s">
        <v>1650</v>
      </c>
      <c r="N142" s="6" t="s">
        <v>1650</v>
      </c>
      <c r="O142" s="4" t="s">
        <v>1974</v>
      </c>
      <c r="P142" s="34"/>
      <c r="Q142" s="6" t="s">
        <v>141</v>
      </c>
      <c r="R142" s="6" t="s">
        <v>141</v>
      </c>
      <c r="S142" s="9">
        <f t="shared" si="46"/>
        <v>3</v>
      </c>
      <c r="T142" s="9">
        <v>3</v>
      </c>
      <c r="U142" s="6" t="s">
        <v>1653</v>
      </c>
      <c r="V142" s="9">
        <v>0</v>
      </c>
      <c r="W142" s="6" t="s">
        <v>141</v>
      </c>
      <c r="X142" s="88">
        <v>116</v>
      </c>
      <c r="Y142" s="5" t="s">
        <v>1687</v>
      </c>
    </row>
    <row r="143" spans="1:37" ht="110.25" x14ac:dyDescent="0.25">
      <c r="A143" s="71" t="s">
        <v>1930</v>
      </c>
      <c r="B143" s="28" t="s">
        <v>365</v>
      </c>
      <c r="C143" s="5" t="s">
        <v>1363</v>
      </c>
      <c r="D143" s="4" t="s">
        <v>1905</v>
      </c>
      <c r="E143" s="5" t="s">
        <v>1834</v>
      </c>
      <c r="F143" s="4" t="s">
        <v>1736</v>
      </c>
      <c r="G143" s="6"/>
      <c r="H143" s="35">
        <f>7.5*4</f>
        <v>30</v>
      </c>
      <c r="I143" s="35"/>
      <c r="J143" s="35">
        <f>(4+7.5+4+2)*2*2</f>
        <v>70</v>
      </c>
      <c r="K143" s="9">
        <v>1</v>
      </c>
      <c r="L143" s="10">
        <v>8</v>
      </c>
      <c r="M143" s="6" t="s">
        <v>494</v>
      </c>
      <c r="N143" s="6" t="s">
        <v>494</v>
      </c>
      <c r="O143" s="5"/>
      <c r="P143" s="6"/>
      <c r="Q143" s="12" t="s">
        <v>141</v>
      </c>
      <c r="R143" s="6" t="s">
        <v>141</v>
      </c>
      <c r="S143" s="9">
        <f t="shared" ref="S143" si="47">T143+V143</f>
        <v>16</v>
      </c>
      <c r="T143" s="12" t="s">
        <v>197</v>
      </c>
      <c r="U143" s="6" t="s">
        <v>141</v>
      </c>
      <c r="V143" s="96">
        <v>16</v>
      </c>
      <c r="W143" s="6" t="s">
        <v>1932</v>
      </c>
      <c r="X143" s="88" t="s">
        <v>1931</v>
      </c>
      <c r="Y143" s="5" t="s">
        <v>714</v>
      </c>
      <c r="Z143" s="45" t="s">
        <v>425</v>
      </c>
    </row>
    <row r="144" spans="1:37" ht="110.25" x14ac:dyDescent="0.25">
      <c r="A144" s="71" t="s">
        <v>1936</v>
      </c>
      <c r="B144" s="28" t="s">
        <v>360</v>
      </c>
      <c r="C144" s="5" t="s">
        <v>1363</v>
      </c>
      <c r="D144" s="4" t="s">
        <v>1937</v>
      </c>
      <c r="E144" s="5" t="s">
        <v>119</v>
      </c>
      <c r="F144" s="4" t="s">
        <v>1560</v>
      </c>
      <c r="G144" s="6"/>
      <c r="H144" s="35">
        <f t="shared" ref="H144:H380" si="48">8*4</f>
        <v>32</v>
      </c>
      <c r="I144" s="35">
        <f>12*8-H144</f>
        <v>64</v>
      </c>
      <c r="J144" s="35">
        <f>(2+8+2+2)*2*2</f>
        <v>56</v>
      </c>
      <c r="K144" s="9">
        <v>1</v>
      </c>
      <c r="L144" s="10">
        <v>8</v>
      </c>
      <c r="M144" s="6" t="s">
        <v>494</v>
      </c>
      <c r="N144" s="6" t="s">
        <v>494</v>
      </c>
      <c r="O144" s="4" t="s">
        <v>1974</v>
      </c>
      <c r="P144" s="34"/>
      <c r="Q144" s="6" t="s">
        <v>141</v>
      </c>
      <c r="R144" s="6" t="s">
        <v>141</v>
      </c>
      <c r="S144" s="9">
        <f t="shared" ref="S144" si="49">T144+V144</f>
        <v>64</v>
      </c>
      <c r="T144" s="9">
        <v>11</v>
      </c>
      <c r="U144" s="6" t="s">
        <v>1938</v>
      </c>
      <c r="V144" s="9">
        <v>53</v>
      </c>
      <c r="W144" s="5" t="s">
        <v>1595</v>
      </c>
      <c r="X144" s="28"/>
      <c r="Y144" s="5"/>
    </row>
    <row r="145" spans="1:37" ht="110.25" x14ac:dyDescent="0.35">
      <c r="A145" s="71" t="s">
        <v>2157</v>
      </c>
      <c r="B145" s="28" t="s">
        <v>357</v>
      </c>
      <c r="C145" s="5" t="s">
        <v>1413</v>
      </c>
      <c r="D145" s="4" t="s">
        <v>1366</v>
      </c>
      <c r="E145" s="5" t="s">
        <v>119</v>
      </c>
      <c r="F145" s="4" t="s">
        <v>1560</v>
      </c>
      <c r="G145" s="6"/>
      <c r="H145" s="32"/>
      <c r="I145" s="32"/>
      <c r="J145" s="32"/>
      <c r="K145" s="9">
        <v>1</v>
      </c>
      <c r="L145" s="10">
        <v>8</v>
      </c>
      <c r="M145" s="6" t="s">
        <v>494</v>
      </c>
      <c r="N145" s="6" t="s">
        <v>494</v>
      </c>
      <c r="O145" s="4" t="s">
        <v>1974</v>
      </c>
      <c r="P145" s="34"/>
      <c r="Q145" s="6" t="s">
        <v>141</v>
      </c>
      <c r="R145" s="6" t="s">
        <v>141</v>
      </c>
      <c r="S145" s="9">
        <f>T145+V145</f>
        <v>30</v>
      </c>
      <c r="T145" s="9">
        <v>0</v>
      </c>
      <c r="U145" s="6" t="s">
        <v>141</v>
      </c>
      <c r="V145" s="9">
        <v>30</v>
      </c>
      <c r="W145" s="5" t="s">
        <v>2158</v>
      </c>
      <c r="X145" s="36">
        <v>60</v>
      </c>
      <c r="Y145" s="5" t="s">
        <v>714</v>
      </c>
      <c r="AF145" s="97">
        <v>1.1299999999999999</v>
      </c>
      <c r="AG145" s="98">
        <f>X145*AF145</f>
        <v>67.8</v>
      </c>
      <c r="AH145" s="98">
        <f>AG145/12</f>
        <v>5.6499999999999995</v>
      </c>
      <c r="AI145" s="98">
        <f>AH145/30</f>
        <v>0.18833333333333332</v>
      </c>
      <c r="AJ145" s="97">
        <v>1.25</v>
      </c>
      <c r="AK145" s="37">
        <f>ROUND(AI145*AJ145,0)</f>
        <v>0</v>
      </c>
    </row>
    <row r="146" spans="1:37" ht="25.5" customHeight="1" x14ac:dyDescent="0.25">
      <c r="A146" s="122" t="s">
        <v>781</v>
      </c>
      <c r="B146" s="123"/>
      <c r="C146" s="123"/>
      <c r="D146" s="123"/>
      <c r="E146" s="123"/>
      <c r="F146" s="123"/>
      <c r="G146" s="123"/>
      <c r="H146" s="123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3"/>
      <c r="V146" s="123"/>
      <c r="W146" s="124"/>
      <c r="X146" s="99"/>
      <c r="Y146" s="100"/>
      <c r="AF146" s="3"/>
      <c r="AG146" s="3"/>
      <c r="AH146" s="3"/>
      <c r="AI146" s="3"/>
      <c r="AJ146" s="3"/>
      <c r="AK146" s="31"/>
    </row>
    <row r="147" spans="1:37" s="50" customFormat="1" ht="49.5" customHeight="1" x14ac:dyDescent="0.25">
      <c r="A147" s="71" t="s">
        <v>782</v>
      </c>
      <c r="B147" s="28" t="s">
        <v>360</v>
      </c>
      <c r="C147" s="5" t="s">
        <v>1363</v>
      </c>
      <c r="D147" s="4" t="s">
        <v>134</v>
      </c>
      <c r="E147" s="4" t="s">
        <v>136</v>
      </c>
      <c r="F147" s="4" t="s">
        <v>135</v>
      </c>
      <c r="G147" s="27" t="s">
        <v>6</v>
      </c>
      <c r="H147" s="32"/>
      <c r="I147" s="32"/>
      <c r="J147" s="32"/>
      <c r="K147" s="7">
        <v>1</v>
      </c>
      <c r="L147" s="8">
        <v>1.1000000000000001</v>
      </c>
      <c r="M147" s="4" t="s">
        <v>143</v>
      </c>
      <c r="N147" s="4" t="s">
        <v>143</v>
      </c>
      <c r="O147" s="4" t="s">
        <v>1412</v>
      </c>
      <c r="P147" s="27" t="s">
        <v>6</v>
      </c>
      <c r="Q147" s="72" t="s">
        <v>142</v>
      </c>
      <c r="R147" s="27" t="s">
        <v>905</v>
      </c>
      <c r="S147" s="9" t="s">
        <v>141</v>
      </c>
      <c r="T147" s="9" t="s">
        <v>141</v>
      </c>
      <c r="U147" s="5" t="s">
        <v>141</v>
      </c>
      <c r="V147" s="9" t="s">
        <v>141</v>
      </c>
      <c r="W147" s="5" t="s">
        <v>141</v>
      </c>
      <c r="X147" s="73">
        <v>0</v>
      </c>
      <c r="Y147" s="4" t="s">
        <v>143</v>
      </c>
      <c r="Z147" s="49"/>
      <c r="AF147" s="3"/>
      <c r="AG147" s="3"/>
      <c r="AH147" s="3"/>
      <c r="AI147" s="3"/>
      <c r="AJ147" s="3"/>
      <c r="AK147" s="31"/>
    </row>
    <row r="148" spans="1:37" s="50" customFormat="1" ht="49.5" customHeight="1" x14ac:dyDescent="0.25">
      <c r="A148" s="71" t="s">
        <v>783</v>
      </c>
      <c r="B148" s="28" t="s">
        <v>360</v>
      </c>
      <c r="C148" s="5" t="s">
        <v>1363</v>
      </c>
      <c r="D148" s="4" t="s">
        <v>210</v>
      </c>
      <c r="E148" s="4" t="s">
        <v>302</v>
      </c>
      <c r="F148" s="4" t="s">
        <v>135</v>
      </c>
      <c r="G148" s="27"/>
      <c r="H148" s="32"/>
      <c r="I148" s="32"/>
      <c r="J148" s="32"/>
      <c r="K148" s="7">
        <v>4</v>
      </c>
      <c r="L148" s="8">
        <v>3</v>
      </c>
      <c r="M148" s="4" t="s">
        <v>211</v>
      </c>
      <c r="N148" s="4" t="s">
        <v>211</v>
      </c>
      <c r="O148" s="4" t="s">
        <v>211</v>
      </c>
      <c r="P148" s="27" t="s">
        <v>6</v>
      </c>
      <c r="Q148" s="72">
        <v>6</v>
      </c>
      <c r="R148" s="27" t="s">
        <v>906</v>
      </c>
      <c r="S148" s="9" t="s">
        <v>141</v>
      </c>
      <c r="T148" s="9" t="s">
        <v>141</v>
      </c>
      <c r="U148" s="5" t="s">
        <v>141</v>
      </c>
      <c r="V148" s="9" t="s">
        <v>141</v>
      </c>
      <c r="W148" s="5" t="s">
        <v>141</v>
      </c>
      <c r="X148" s="73"/>
      <c r="Y148" s="4" t="s">
        <v>211</v>
      </c>
      <c r="Z148" s="49"/>
      <c r="AF148" s="3"/>
      <c r="AG148" s="3"/>
      <c r="AH148" s="3"/>
      <c r="AI148" s="3"/>
      <c r="AJ148" s="3"/>
      <c r="AK148" s="31"/>
    </row>
    <row r="149" spans="1:37" s="50" customFormat="1" ht="54" customHeight="1" x14ac:dyDescent="0.25">
      <c r="A149" s="71" t="s">
        <v>784</v>
      </c>
      <c r="B149" s="28" t="s">
        <v>360</v>
      </c>
      <c r="C149" s="5" t="s">
        <v>1363</v>
      </c>
      <c r="D149" s="4" t="s">
        <v>213</v>
      </c>
      <c r="E149" s="4" t="s">
        <v>303</v>
      </c>
      <c r="F149" s="4" t="s">
        <v>135</v>
      </c>
      <c r="G149" s="27"/>
      <c r="H149" s="32"/>
      <c r="I149" s="32"/>
      <c r="J149" s="32"/>
      <c r="K149" s="7">
        <v>1</v>
      </c>
      <c r="L149" s="8">
        <v>0.75</v>
      </c>
      <c r="M149" s="4" t="s">
        <v>211</v>
      </c>
      <c r="N149" s="4" t="s">
        <v>211</v>
      </c>
      <c r="O149" s="4" t="s">
        <v>211</v>
      </c>
      <c r="P149" s="27" t="s">
        <v>6</v>
      </c>
      <c r="Q149" s="72">
        <v>1</v>
      </c>
      <c r="R149" s="27" t="s">
        <v>212</v>
      </c>
      <c r="S149" s="9" t="s">
        <v>141</v>
      </c>
      <c r="T149" s="9" t="s">
        <v>141</v>
      </c>
      <c r="U149" s="5" t="s">
        <v>141</v>
      </c>
      <c r="V149" s="9" t="s">
        <v>141</v>
      </c>
      <c r="W149" s="5" t="s">
        <v>141</v>
      </c>
      <c r="X149" s="73"/>
      <c r="Y149" s="4" t="s">
        <v>211</v>
      </c>
      <c r="Z149" s="49"/>
      <c r="AF149" s="3"/>
      <c r="AG149" s="3"/>
      <c r="AH149" s="3"/>
      <c r="AI149" s="3"/>
      <c r="AJ149" s="3"/>
      <c r="AK149" s="31"/>
    </row>
    <row r="150" spans="1:37" s="50" customFormat="1" ht="73.5" customHeight="1" x14ac:dyDescent="0.25">
      <c r="A150" s="71" t="s">
        <v>785</v>
      </c>
      <c r="B150" s="28" t="s">
        <v>360</v>
      </c>
      <c r="C150" s="5" t="s">
        <v>1363</v>
      </c>
      <c r="D150" s="4" t="s">
        <v>230</v>
      </c>
      <c r="E150" s="4" t="s">
        <v>304</v>
      </c>
      <c r="F150" s="4" t="s">
        <v>227</v>
      </c>
      <c r="G150" s="27"/>
      <c r="H150" s="32"/>
      <c r="I150" s="32"/>
      <c r="J150" s="32"/>
      <c r="K150" s="7">
        <v>4</v>
      </c>
      <c r="L150" s="8">
        <v>3.2</v>
      </c>
      <c r="M150" s="4" t="s">
        <v>231</v>
      </c>
      <c r="N150" s="4" t="s">
        <v>1443</v>
      </c>
      <c r="O150" s="4" t="s">
        <v>231</v>
      </c>
      <c r="P150" s="27" t="s">
        <v>6</v>
      </c>
      <c r="Q150" s="72">
        <v>1</v>
      </c>
      <c r="R150" s="27" t="s">
        <v>220</v>
      </c>
      <c r="S150" s="9" t="s">
        <v>141</v>
      </c>
      <c r="T150" s="9" t="s">
        <v>141</v>
      </c>
      <c r="U150" s="5" t="s">
        <v>141</v>
      </c>
      <c r="V150" s="9" t="s">
        <v>141</v>
      </c>
      <c r="W150" s="5" t="s">
        <v>141</v>
      </c>
      <c r="X150" s="73"/>
      <c r="Y150" s="4" t="s">
        <v>231</v>
      </c>
      <c r="Z150" s="49"/>
      <c r="AF150" s="3"/>
      <c r="AG150" s="3"/>
      <c r="AH150" s="3"/>
      <c r="AI150" s="3"/>
      <c r="AJ150" s="3"/>
      <c r="AK150" s="31"/>
    </row>
    <row r="151" spans="1:37" s="50" customFormat="1" ht="73.5" customHeight="1" x14ac:dyDescent="0.25">
      <c r="A151" s="71" t="s">
        <v>786</v>
      </c>
      <c r="B151" s="28" t="s">
        <v>360</v>
      </c>
      <c r="C151" s="5" t="s">
        <v>1363</v>
      </c>
      <c r="D151" s="4" t="s">
        <v>274</v>
      </c>
      <c r="E151" s="4" t="s">
        <v>277</v>
      </c>
      <c r="F151" s="4" t="s">
        <v>276</v>
      </c>
      <c r="G151" s="27"/>
      <c r="H151" s="32"/>
      <c r="I151" s="32"/>
      <c r="J151" s="32"/>
      <c r="K151" s="7">
        <v>3</v>
      </c>
      <c r="L151" s="8">
        <v>2.25</v>
      </c>
      <c r="M151" s="4" t="s">
        <v>275</v>
      </c>
      <c r="N151" s="4" t="s">
        <v>1444</v>
      </c>
      <c r="O151" s="4" t="s">
        <v>275</v>
      </c>
      <c r="P151" s="27" t="s">
        <v>6</v>
      </c>
      <c r="Q151" s="72">
        <v>7</v>
      </c>
      <c r="R151" s="27" t="s">
        <v>278</v>
      </c>
      <c r="S151" s="9" t="s">
        <v>141</v>
      </c>
      <c r="T151" s="9" t="s">
        <v>141</v>
      </c>
      <c r="U151" s="5" t="s">
        <v>141</v>
      </c>
      <c r="V151" s="9" t="s">
        <v>141</v>
      </c>
      <c r="W151" s="5" t="s">
        <v>141</v>
      </c>
      <c r="X151" s="73"/>
      <c r="Y151" s="4" t="s">
        <v>275</v>
      </c>
      <c r="Z151" s="49"/>
      <c r="AF151" s="3"/>
      <c r="AG151" s="3"/>
      <c r="AH151" s="3"/>
      <c r="AI151" s="3"/>
      <c r="AJ151" s="3"/>
      <c r="AK151" s="31"/>
    </row>
    <row r="152" spans="1:37" s="50" customFormat="1" ht="110.25" x14ac:dyDescent="0.25">
      <c r="A152" s="71" t="s">
        <v>787</v>
      </c>
      <c r="B152" s="28" t="s">
        <v>360</v>
      </c>
      <c r="C152" s="5" t="s">
        <v>1363</v>
      </c>
      <c r="D152" s="4" t="s">
        <v>282</v>
      </c>
      <c r="E152" s="4" t="s">
        <v>283</v>
      </c>
      <c r="F152" s="4" t="s">
        <v>284</v>
      </c>
      <c r="G152" s="27"/>
      <c r="H152" s="32"/>
      <c r="I152" s="32"/>
      <c r="J152" s="32"/>
      <c r="K152" s="7">
        <v>1</v>
      </c>
      <c r="L152" s="8">
        <v>0.75</v>
      </c>
      <c r="M152" s="4" t="s">
        <v>285</v>
      </c>
      <c r="N152" s="4" t="s">
        <v>285</v>
      </c>
      <c r="O152" s="4" t="s">
        <v>285</v>
      </c>
      <c r="P152" s="27" t="s">
        <v>6</v>
      </c>
      <c r="Q152" s="72">
        <v>1</v>
      </c>
      <c r="R152" s="27" t="s">
        <v>286</v>
      </c>
      <c r="S152" s="9" t="s">
        <v>141</v>
      </c>
      <c r="T152" s="9" t="s">
        <v>141</v>
      </c>
      <c r="U152" s="5" t="s">
        <v>141</v>
      </c>
      <c r="V152" s="9" t="s">
        <v>141</v>
      </c>
      <c r="W152" s="5" t="s">
        <v>141</v>
      </c>
      <c r="X152" s="73">
        <v>9</v>
      </c>
      <c r="Y152" s="4" t="s">
        <v>285</v>
      </c>
      <c r="Z152" s="49"/>
      <c r="AF152" s="3"/>
      <c r="AG152" s="3"/>
      <c r="AH152" s="3"/>
      <c r="AI152" s="3"/>
      <c r="AJ152" s="3"/>
      <c r="AK152" s="31"/>
    </row>
    <row r="153" spans="1:37" s="2" customFormat="1" ht="136.5" customHeight="1" x14ac:dyDescent="0.25">
      <c r="A153" s="71" t="s">
        <v>907</v>
      </c>
      <c r="B153" s="28" t="s">
        <v>365</v>
      </c>
      <c r="C153" s="5" t="s">
        <v>1363</v>
      </c>
      <c r="D153" s="5" t="s">
        <v>2179</v>
      </c>
      <c r="E153" s="4" t="s">
        <v>313</v>
      </c>
      <c r="F153" s="5" t="s">
        <v>250</v>
      </c>
      <c r="G153" s="6" t="s">
        <v>118</v>
      </c>
      <c r="H153" s="85"/>
      <c r="I153" s="85"/>
      <c r="J153" s="85"/>
      <c r="K153" s="9">
        <v>1</v>
      </c>
      <c r="L153" s="10">
        <v>1</v>
      </c>
      <c r="M153" s="5" t="s">
        <v>1430</v>
      </c>
      <c r="N153" s="5" t="s">
        <v>1430</v>
      </c>
      <c r="O153" s="5" t="s">
        <v>205</v>
      </c>
      <c r="P153" s="27" t="s">
        <v>6</v>
      </c>
      <c r="Q153" s="11">
        <v>4</v>
      </c>
      <c r="R153" s="6" t="s">
        <v>1628</v>
      </c>
      <c r="S153" s="9">
        <f t="shared" ref="S153" si="50">T153+V153</f>
        <v>0</v>
      </c>
      <c r="T153" s="9">
        <v>0</v>
      </c>
      <c r="U153" s="6" t="s">
        <v>141</v>
      </c>
      <c r="V153" s="9">
        <v>0</v>
      </c>
      <c r="W153" s="6" t="s">
        <v>141</v>
      </c>
      <c r="X153" s="29"/>
      <c r="Y153" s="5" t="s">
        <v>205</v>
      </c>
      <c r="Z153" s="30"/>
      <c r="AF153" s="3"/>
      <c r="AG153" s="3"/>
      <c r="AH153" s="3"/>
      <c r="AI153" s="3"/>
      <c r="AJ153" s="3"/>
      <c r="AK153" s="31"/>
    </row>
    <row r="154" spans="1:37" s="50" customFormat="1" ht="61.5" customHeight="1" x14ac:dyDescent="0.25">
      <c r="A154" s="71" t="s">
        <v>908</v>
      </c>
      <c r="B154" s="28" t="s">
        <v>365</v>
      </c>
      <c r="C154" s="5" t="s">
        <v>1363</v>
      </c>
      <c r="D154" s="5" t="s">
        <v>2116</v>
      </c>
      <c r="E154" s="5" t="s">
        <v>119</v>
      </c>
      <c r="F154" s="5" t="s">
        <v>229</v>
      </c>
      <c r="G154" s="6" t="s">
        <v>118</v>
      </c>
      <c r="H154" s="85"/>
      <c r="I154" s="85"/>
      <c r="J154" s="85"/>
      <c r="K154" s="9">
        <v>4</v>
      </c>
      <c r="L154" s="10">
        <v>0.75</v>
      </c>
      <c r="M154" s="5" t="s">
        <v>1624</v>
      </c>
      <c r="N154" s="5" t="s">
        <v>217</v>
      </c>
      <c r="O154" s="5" t="s">
        <v>217</v>
      </c>
      <c r="P154" s="27" t="s">
        <v>6</v>
      </c>
      <c r="Q154" s="11">
        <v>420</v>
      </c>
      <c r="R154" s="6" t="s">
        <v>1432</v>
      </c>
      <c r="S154" s="9" t="s">
        <v>141</v>
      </c>
      <c r="T154" s="9" t="s">
        <v>141</v>
      </c>
      <c r="U154" s="5" t="s">
        <v>141</v>
      </c>
      <c r="V154" s="9" t="s">
        <v>141</v>
      </c>
      <c r="W154" s="5" t="s">
        <v>141</v>
      </c>
      <c r="X154" s="29">
        <v>420</v>
      </c>
      <c r="Y154" s="5" t="s">
        <v>217</v>
      </c>
      <c r="Z154" s="49"/>
      <c r="AF154" s="3"/>
      <c r="AG154" s="3"/>
      <c r="AH154" s="3"/>
      <c r="AI154" s="3"/>
      <c r="AJ154" s="3"/>
      <c r="AK154" s="31"/>
    </row>
    <row r="155" spans="1:37" s="50" customFormat="1" ht="61.5" customHeight="1" x14ac:dyDescent="0.25">
      <c r="A155" s="71" t="s">
        <v>909</v>
      </c>
      <c r="B155" s="28" t="s">
        <v>365</v>
      </c>
      <c r="C155" s="5" t="s">
        <v>1363</v>
      </c>
      <c r="D155" s="5" t="s">
        <v>2117</v>
      </c>
      <c r="E155" s="5" t="s">
        <v>218</v>
      </c>
      <c r="F155" s="5" t="s">
        <v>228</v>
      </c>
      <c r="G155" s="6" t="s">
        <v>118</v>
      </c>
      <c r="H155" s="85"/>
      <c r="I155" s="85"/>
      <c r="J155" s="85"/>
      <c r="K155" s="9">
        <v>5</v>
      </c>
      <c r="L155" s="10">
        <v>0.7</v>
      </c>
      <c r="M155" s="5" t="s">
        <v>1431</v>
      </c>
      <c r="N155" s="5" t="s">
        <v>1431</v>
      </c>
      <c r="O155" s="5" t="s">
        <v>219</v>
      </c>
      <c r="P155" s="27" t="s">
        <v>6</v>
      </c>
      <c r="Q155" s="11">
        <v>83</v>
      </c>
      <c r="R155" s="6" t="s">
        <v>1433</v>
      </c>
      <c r="S155" s="9" t="s">
        <v>141</v>
      </c>
      <c r="T155" s="9" t="s">
        <v>141</v>
      </c>
      <c r="U155" s="5" t="s">
        <v>141</v>
      </c>
      <c r="V155" s="9" t="s">
        <v>141</v>
      </c>
      <c r="W155" s="5" t="s">
        <v>141</v>
      </c>
      <c r="X155" s="29">
        <v>83</v>
      </c>
      <c r="Y155" s="5" t="s">
        <v>219</v>
      </c>
      <c r="Z155" s="49"/>
      <c r="AF155" s="3"/>
      <c r="AG155" s="3"/>
      <c r="AH155" s="3"/>
      <c r="AI155" s="3"/>
      <c r="AJ155" s="3"/>
      <c r="AK155" s="31"/>
    </row>
    <row r="156" spans="1:37" s="50" customFormat="1" ht="61.5" customHeight="1" x14ac:dyDescent="0.25">
      <c r="A156" s="71" t="s">
        <v>910</v>
      </c>
      <c r="B156" s="28" t="s">
        <v>365</v>
      </c>
      <c r="C156" s="5" t="s">
        <v>1363</v>
      </c>
      <c r="D156" s="5" t="s">
        <v>2180</v>
      </c>
      <c r="E156" s="5" t="s">
        <v>305</v>
      </c>
      <c r="F156" s="5" t="s">
        <v>306</v>
      </c>
      <c r="G156" s="6" t="s">
        <v>118</v>
      </c>
      <c r="H156" s="85"/>
      <c r="I156" s="85"/>
      <c r="J156" s="85"/>
      <c r="K156" s="9">
        <v>2</v>
      </c>
      <c r="L156" s="10">
        <v>1.5</v>
      </c>
      <c r="M156" s="5" t="s">
        <v>1625</v>
      </c>
      <c r="N156" s="5" t="s">
        <v>307</v>
      </c>
      <c r="O156" s="5" t="s">
        <v>307</v>
      </c>
      <c r="P156" s="27" t="s">
        <v>6</v>
      </c>
      <c r="Q156" s="11">
        <v>141</v>
      </c>
      <c r="R156" s="6" t="s">
        <v>1434</v>
      </c>
      <c r="S156" s="9" t="s">
        <v>141</v>
      </c>
      <c r="T156" s="9" t="s">
        <v>141</v>
      </c>
      <c r="U156" s="5" t="s">
        <v>141</v>
      </c>
      <c r="V156" s="9" t="s">
        <v>141</v>
      </c>
      <c r="W156" s="5" t="s">
        <v>141</v>
      </c>
      <c r="X156" s="29">
        <v>141</v>
      </c>
      <c r="Y156" s="5" t="s">
        <v>307</v>
      </c>
      <c r="Z156" s="49"/>
      <c r="AF156" s="3"/>
      <c r="AG156" s="3"/>
      <c r="AH156" s="3"/>
      <c r="AI156" s="3"/>
      <c r="AJ156" s="3"/>
      <c r="AK156" s="31"/>
    </row>
    <row r="157" spans="1:37" s="93" customFormat="1" ht="80.25" customHeight="1" x14ac:dyDescent="0.25">
      <c r="A157" s="71" t="s">
        <v>911</v>
      </c>
      <c r="B157" s="28" t="s">
        <v>356</v>
      </c>
      <c r="C157" s="5" t="s">
        <v>1363</v>
      </c>
      <c r="D157" s="5" t="s">
        <v>896</v>
      </c>
      <c r="E157" s="5" t="s">
        <v>309</v>
      </c>
      <c r="F157" s="4" t="s">
        <v>310</v>
      </c>
      <c r="G157" s="6" t="s">
        <v>118</v>
      </c>
      <c r="H157" s="32"/>
      <c r="I157" s="32"/>
      <c r="J157" s="32"/>
      <c r="K157" s="42">
        <v>1</v>
      </c>
      <c r="L157" s="92">
        <v>0.75</v>
      </c>
      <c r="M157" s="6" t="s">
        <v>312</v>
      </c>
      <c r="N157" s="6" t="s">
        <v>1445</v>
      </c>
      <c r="O157" s="5" t="s">
        <v>312</v>
      </c>
      <c r="P157" s="27" t="s">
        <v>6</v>
      </c>
      <c r="Q157" s="12" t="s">
        <v>142</v>
      </c>
      <c r="R157" s="6" t="s">
        <v>311</v>
      </c>
      <c r="S157" s="9" t="s">
        <v>141</v>
      </c>
      <c r="T157" s="9" t="s">
        <v>141</v>
      </c>
      <c r="U157" s="5" t="s">
        <v>141</v>
      </c>
      <c r="V157" s="9" t="s">
        <v>141</v>
      </c>
      <c r="W157" s="5" t="s">
        <v>141</v>
      </c>
      <c r="X157" s="73"/>
      <c r="Y157" s="5" t="s">
        <v>312</v>
      </c>
      <c r="Z157" s="45"/>
      <c r="AF157" s="3"/>
      <c r="AG157" s="3"/>
      <c r="AH157" s="3"/>
      <c r="AI157" s="3"/>
      <c r="AJ157" s="3"/>
      <c r="AK157" s="31"/>
    </row>
    <row r="158" spans="1:37" ht="80.25" customHeight="1" x14ac:dyDescent="0.25">
      <c r="A158" s="71" t="s">
        <v>912</v>
      </c>
      <c r="B158" s="28" t="s">
        <v>360</v>
      </c>
      <c r="C158" s="5" t="s">
        <v>1363</v>
      </c>
      <c r="D158" s="5" t="s">
        <v>791</v>
      </c>
      <c r="E158" s="5" t="s">
        <v>348</v>
      </c>
      <c r="F158" s="4" t="s">
        <v>24</v>
      </c>
      <c r="G158" s="6"/>
      <c r="H158" s="32"/>
      <c r="I158" s="32"/>
      <c r="J158" s="32"/>
      <c r="K158" s="9">
        <v>1</v>
      </c>
      <c r="L158" s="10">
        <v>1.1000000000000001</v>
      </c>
      <c r="M158" s="6" t="s">
        <v>346</v>
      </c>
      <c r="N158" s="6" t="s">
        <v>1446</v>
      </c>
      <c r="O158" s="5" t="s">
        <v>346</v>
      </c>
      <c r="P158" s="27" t="s">
        <v>6</v>
      </c>
      <c r="Q158" s="12" t="s">
        <v>142</v>
      </c>
      <c r="R158" s="6" t="s">
        <v>345</v>
      </c>
      <c r="S158" s="9">
        <f t="shared" ref="S158:S159" si="51">T158+V158</f>
        <v>10</v>
      </c>
      <c r="T158" s="9">
        <v>10</v>
      </c>
      <c r="U158" s="6" t="s">
        <v>141</v>
      </c>
      <c r="V158" s="9">
        <v>0</v>
      </c>
      <c r="W158" s="6" t="s">
        <v>141</v>
      </c>
      <c r="Y158" s="6" t="s">
        <v>346</v>
      </c>
      <c r="AF158" s="3"/>
      <c r="AG158" s="3"/>
      <c r="AH158" s="3"/>
      <c r="AI158" s="3"/>
      <c r="AJ158" s="3"/>
      <c r="AK158" s="31"/>
    </row>
    <row r="159" spans="1:37" ht="80.25" customHeight="1" x14ac:dyDescent="0.25">
      <c r="A159" s="71" t="s">
        <v>913</v>
      </c>
      <c r="B159" s="28" t="s">
        <v>357</v>
      </c>
      <c r="C159" s="101" t="s">
        <v>1363</v>
      </c>
      <c r="D159" s="102" t="s">
        <v>870</v>
      </c>
      <c r="E159" s="5" t="s">
        <v>386</v>
      </c>
      <c r="F159" s="4" t="s">
        <v>370</v>
      </c>
      <c r="G159" s="6"/>
      <c r="H159" s="32"/>
      <c r="I159" s="32"/>
      <c r="J159" s="32"/>
      <c r="K159" s="9">
        <v>1</v>
      </c>
      <c r="L159" s="10">
        <v>0.75</v>
      </c>
      <c r="M159" s="103" t="s">
        <v>366</v>
      </c>
      <c r="N159" s="103" t="s">
        <v>436</v>
      </c>
      <c r="O159" s="5" t="s">
        <v>366</v>
      </c>
      <c r="P159" s="27" t="s">
        <v>6</v>
      </c>
      <c r="Q159" s="11">
        <v>1</v>
      </c>
      <c r="R159" s="102" t="s">
        <v>371</v>
      </c>
      <c r="S159" s="9">
        <f t="shared" si="51"/>
        <v>1</v>
      </c>
      <c r="T159" s="9">
        <v>1</v>
      </c>
      <c r="U159" s="6" t="s">
        <v>364</v>
      </c>
      <c r="V159" s="9">
        <v>0</v>
      </c>
      <c r="W159" s="6" t="s">
        <v>141</v>
      </c>
      <c r="X159" s="88">
        <f>290.7+2132</f>
        <v>2422.6999999999998</v>
      </c>
      <c r="Y159" s="103" t="s">
        <v>366</v>
      </c>
      <c r="AF159" s="3"/>
      <c r="AG159" s="3"/>
      <c r="AH159" s="3"/>
      <c r="AI159" s="3"/>
      <c r="AJ159" s="3"/>
      <c r="AK159" s="31"/>
    </row>
    <row r="160" spans="1:37" ht="67.5" customHeight="1" x14ac:dyDescent="0.25">
      <c r="A160" s="71" t="s">
        <v>914</v>
      </c>
      <c r="B160" s="28" t="s">
        <v>360</v>
      </c>
      <c r="C160" s="5" t="s">
        <v>1363</v>
      </c>
      <c r="D160" s="4" t="s">
        <v>792</v>
      </c>
      <c r="E160" s="5" t="s">
        <v>361</v>
      </c>
      <c r="F160" s="4" t="s">
        <v>363</v>
      </c>
      <c r="G160" s="6" t="s">
        <v>118</v>
      </c>
      <c r="H160" s="32"/>
      <c r="I160" s="32"/>
      <c r="J160" s="32"/>
      <c r="K160" s="9">
        <v>1</v>
      </c>
      <c r="L160" s="10">
        <v>6</v>
      </c>
      <c r="M160" s="6" t="s">
        <v>1973</v>
      </c>
      <c r="N160" s="6" t="s">
        <v>1973</v>
      </c>
      <c r="O160" s="5" t="s">
        <v>1973</v>
      </c>
      <c r="P160" s="27" t="s">
        <v>6</v>
      </c>
      <c r="Q160" s="11">
        <v>1</v>
      </c>
      <c r="R160" s="6" t="s">
        <v>362</v>
      </c>
      <c r="S160" s="9">
        <f t="shared" ref="S160" si="52">T160+V160</f>
        <v>0</v>
      </c>
      <c r="T160" s="9">
        <v>0</v>
      </c>
      <c r="U160" s="6" t="s">
        <v>141</v>
      </c>
      <c r="V160" s="9">
        <v>0</v>
      </c>
      <c r="W160" s="6" t="s">
        <v>141</v>
      </c>
      <c r="X160" s="88">
        <v>2425.3000000000002</v>
      </c>
      <c r="Y160" s="6" t="s">
        <v>1973</v>
      </c>
      <c r="AF160" s="3"/>
      <c r="AG160" s="3"/>
      <c r="AH160" s="3"/>
      <c r="AI160" s="3"/>
      <c r="AJ160" s="3"/>
      <c r="AK160" s="31"/>
    </row>
    <row r="161" spans="1:37" ht="75" customHeight="1" x14ac:dyDescent="0.25">
      <c r="A161" s="71" t="s">
        <v>915</v>
      </c>
      <c r="B161" s="28" t="s">
        <v>365</v>
      </c>
      <c r="C161" s="5" t="s">
        <v>1363</v>
      </c>
      <c r="D161" s="4" t="s">
        <v>860</v>
      </c>
      <c r="E161" s="5" t="s">
        <v>448</v>
      </c>
      <c r="F161" s="4" t="s">
        <v>449</v>
      </c>
      <c r="G161" s="6" t="s">
        <v>118</v>
      </c>
      <c r="H161" s="32"/>
      <c r="I161" s="32"/>
      <c r="J161" s="32"/>
      <c r="K161" s="9">
        <v>1</v>
      </c>
      <c r="L161" s="10">
        <v>6</v>
      </c>
      <c r="M161" s="6" t="s">
        <v>312</v>
      </c>
      <c r="N161" s="6" t="s">
        <v>1445</v>
      </c>
      <c r="O161" s="5" t="s">
        <v>312</v>
      </c>
      <c r="P161" s="27" t="s">
        <v>6</v>
      </c>
      <c r="Q161" s="11">
        <v>1</v>
      </c>
      <c r="R161" s="6" t="s">
        <v>450</v>
      </c>
      <c r="S161" s="9">
        <f t="shared" ref="S161:S162" si="53">T161+V161</f>
        <v>0</v>
      </c>
      <c r="T161" s="9">
        <v>0</v>
      </c>
      <c r="U161" s="6" t="s">
        <v>141</v>
      </c>
      <c r="V161" s="9">
        <v>0</v>
      </c>
      <c r="W161" s="6" t="s">
        <v>141</v>
      </c>
      <c r="X161" s="88">
        <v>23023</v>
      </c>
      <c r="Y161" s="6" t="s">
        <v>312</v>
      </c>
      <c r="AF161" s="3"/>
      <c r="AG161" s="3"/>
      <c r="AH161" s="3"/>
      <c r="AI161" s="3"/>
      <c r="AJ161" s="3"/>
      <c r="AK161" s="31"/>
    </row>
    <row r="162" spans="1:37" ht="76.5" customHeight="1" x14ac:dyDescent="0.25">
      <c r="A162" s="71" t="s">
        <v>916</v>
      </c>
      <c r="B162" s="28" t="s">
        <v>360</v>
      </c>
      <c r="C162" s="5" t="s">
        <v>1363</v>
      </c>
      <c r="D162" s="4" t="s">
        <v>793</v>
      </c>
      <c r="E162" s="5" t="s">
        <v>348</v>
      </c>
      <c r="F162" s="4" t="s">
        <v>349</v>
      </c>
      <c r="G162" s="6"/>
      <c r="H162" s="32"/>
      <c r="I162" s="32"/>
      <c r="J162" s="32"/>
      <c r="K162" s="9">
        <v>1</v>
      </c>
      <c r="L162" s="10">
        <v>1.1000000000000001</v>
      </c>
      <c r="M162" s="6" t="s">
        <v>346</v>
      </c>
      <c r="N162" s="6" t="s">
        <v>1446</v>
      </c>
      <c r="O162" s="5" t="s">
        <v>346</v>
      </c>
      <c r="P162" s="27" t="s">
        <v>6</v>
      </c>
      <c r="Q162" s="12" t="s">
        <v>142</v>
      </c>
      <c r="R162" s="6" t="s">
        <v>345</v>
      </c>
      <c r="S162" s="9">
        <f t="shared" si="53"/>
        <v>0</v>
      </c>
      <c r="T162" s="9">
        <v>0</v>
      </c>
      <c r="U162" s="6" t="s">
        <v>141</v>
      </c>
      <c r="V162" s="9">
        <v>0</v>
      </c>
      <c r="W162" s="6" t="s">
        <v>141</v>
      </c>
      <c r="Y162" s="6" t="s">
        <v>346</v>
      </c>
      <c r="AF162" s="3"/>
      <c r="AG162" s="3"/>
      <c r="AH162" s="3"/>
      <c r="AI162" s="3"/>
      <c r="AJ162" s="3"/>
      <c r="AK162" s="31"/>
    </row>
    <row r="163" spans="1:37" ht="87.75" customHeight="1" x14ac:dyDescent="0.25">
      <c r="A163" s="71" t="s">
        <v>917</v>
      </c>
      <c r="B163" s="28" t="s">
        <v>360</v>
      </c>
      <c r="C163" s="5" t="s">
        <v>1363</v>
      </c>
      <c r="D163" s="4" t="s">
        <v>794</v>
      </c>
      <c r="E163" s="5" t="s">
        <v>314</v>
      </c>
      <c r="F163" s="4" t="s">
        <v>315</v>
      </c>
      <c r="G163" s="6"/>
      <c r="H163" s="32"/>
      <c r="I163" s="32"/>
      <c r="J163" s="32"/>
      <c r="K163" s="9">
        <v>1</v>
      </c>
      <c r="L163" s="10">
        <v>0.75</v>
      </c>
      <c r="M163" s="6" t="s">
        <v>314</v>
      </c>
      <c r="N163" s="6" t="s">
        <v>1447</v>
      </c>
      <c r="O163" s="5" t="s">
        <v>314</v>
      </c>
      <c r="P163" s="27" t="s">
        <v>6</v>
      </c>
      <c r="Q163" s="12" t="s">
        <v>142</v>
      </c>
      <c r="R163" s="6" t="s">
        <v>316</v>
      </c>
      <c r="S163" s="12" t="s">
        <v>141</v>
      </c>
      <c r="T163" s="12" t="s">
        <v>141</v>
      </c>
      <c r="U163" s="6" t="s">
        <v>141</v>
      </c>
      <c r="V163" s="12" t="s">
        <v>141</v>
      </c>
      <c r="W163" s="6" t="s">
        <v>141</v>
      </c>
      <c r="X163" s="88">
        <v>800</v>
      </c>
      <c r="Y163" s="5" t="s">
        <v>314</v>
      </c>
      <c r="AF163" s="3"/>
      <c r="AG163" s="3"/>
      <c r="AH163" s="3"/>
      <c r="AI163" s="3"/>
      <c r="AJ163" s="3"/>
      <c r="AK163" s="31"/>
    </row>
    <row r="164" spans="1:37" ht="126" x14ac:dyDescent="0.25">
      <c r="A164" s="71" t="s">
        <v>918</v>
      </c>
      <c r="B164" s="28" t="s">
        <v>360</v>
      </c>
      <c r="C164" s="5" t="s">
        <v>1363</v>
      </c>
      <c r="D164" s="4" t="s">
        <v>795</v>
      </c>
      <c r="E164" s="5" t="s">
        <v>376</v>
      </c>
      <c r="F164" s="4" t="s">
        <v>375</v>
      </c>
      <c r="G164" s="6"/>
      <c r="H164" s="32"/>
      <c r="I164" s="32"/>
      <c r="J164" s="32"/>
      <c r="K164" s="9">
        <v>1</v>
      </c>
      <c r="L164" s="10">
        <v>6</v>
      </c>
      <c r="M164" s="6" t="s">
        <v>1973</v>
      </c>
      <c r="N164" s="6" t="s">
        <v>1973</v>
      </c>
      <c r="O164" s="5" t="s">
        <v>1973</v>
      </c>
      <c r="P164" s="27" t="s">
        <v>6</v>
      </c>
      <c r="Q164" s="11">
        <v>1</v>
      </c>
      <c r="R164" s="6" t="s">
        <v>380</v>
      </c>
      <c r="S164" s="9">
        <f t="shared" ref="S164:S169" si="54">T164+V164</f>
        <v>0</v>
      </c>
      <c r="T164" s="11">
        <v>0</v>
      </c>
      <c r="U164" s="6" t="s">
        <v>141</v>
      </c>
      <c r="V164" s="11">
        <v>0</v>
      </c>
      <c r="W164" s="6" t="s">
        <v>141</v>
      </c>
      <c r="X164" s="88">
        <v>1865.6</v>
      </c>
      <c r="Y164" s="6" t="s">
        <v>1973</v>
      </c>
    </row>
    <row r="165" spans="1:37" ht="99" customHeight="1" x14ac:dyDescent="0.25">
      <c r="A165" s="71" t="s">
        <v>919</v>
      </c>
      <c r="B165" s="28" t="s">
        <v>360</v>
      </c>
      <c r="C165" s="5" t="s">
        <v>1363</v>
      </c>
      <c r="D165" s="4" t="s">
        <v>796</v>
      </c>
      <c r="E165" s="5" t="s">
        <v>377</v>
      </c>
      <c r="F165" s="4" t="s">
        <v>221</v>
      </c>
      <c r="G165" s="6"/>
      <c r="H165" s="32"/>
      <c r="I165" s="32"/>
      <c r="J165" s="32"/>
      <c r="K165" s="9">
        <v>1</v>
      </c>
      <c r="L165" s="10">
        <v>0.75</v>
      </c>
      <c r="M165" s="6" t="s">
        <v>382</v>
      </c>
      <c r="N165" s="6" t="s">
        <v>382</v>
      </c>
      <c r="O165" s="5" t="s">
        <v>382</v>
      </c>
      <c r="P165" s="27" t="s">
        <v>6</v>
      </c>
      <c r="Q165" s="11">
        <v>1</v>
      </c>
      <c r="R165" s="6" t="s">
        <v>379</v>
      </c>
      <c r="S165" s="9">
        <f t="shared" si="54"/>
        <v>0</v>
      </c>
      <c r="T165" s="11">
        <v>0</v>
      </c>
      <c r="U165" s="6" t="s">
        <v>141</v>
      </c>
      <c r="V165" s="11">
        <v>0</v>
      </c>
      <c r="W165" s="6" t="s">
        <v>141</v>
      </c>
      <c r="X165" s="88">
        <v>426</v>
      </c>
      <c r="Y165" s="6" t="s">
        <v>382</v>
      </c>
    </row>
    <row r="166" spans="1:37" ht="189" x14ac:dyDescent="0.25">
      <c r="A166" s="71" t="s">
        <v>920</v>
      </c>
      <c r="B166" s="28" t="s">
        <v>360</v>
      </c>
      <c r="C166" s="5" t="s">
        <v>1363</v>
      </c>
      <c r="D166" s="4" t="s">
        <v>797</v>
      </c>
      <c r="E166" s="5" t="s">
        <v>378</v>
      </c>
      <c r="F166" s="4" t="s">
        <v>221</v>
      </c>
      <c r="G166" s="6"/>
      <c r="H166" s="32"/>
      <c r="I166" s="32"/>
      <c r="J166" s="32"/>
      <c r="K166" s="9">
        <v>1</v>
      </c>
      <c r="L166" s="10">
        <v>0.75</v>
      </c>
      <c r="M166" s="6" t="s">
        <v>383</v>
      </c>
      <c r="N166" s="6" t="s">
        <v>383</v>
      </c>
      <c r="O166" s="5" t="s">
        <v>383</v>
      </c>
      <c r="P166" s="27" t="s">
        <v>6</v>
      </c>
      <c r="Q166" s="11">
        <v>1</v>
      </c>
      <c r="R166" s="6" t="s">
        <v>381</v>
      </c>
      <c r="S166" s="9">
        <f t="shared" si="54"/>
        <v>0</v>
      </c>
      <c r="T166" s="11">
        <v>0</v>
      </c>
      <c r="U166" s="6" t="s">
        <v>141</v>
      </c>
      <c r="V166" s="11">
        <v>0</v>
      </c>
      <c r="W166" s="6" t="s">
        <v>141</v>
      </c>
      <c r="X166" s="88">
        <v>189</v>
      </c>
      <c r="Y166" s="6" t="s">
        <v>383</v>
      </c>
    </row>
    <row r="167" spans="1:37" ht="72.75" customHeight="1" x14ac:dyDescent="0.25">
      <c r="A167" s="71" t="s">
        <v>921</v>
      </c>
      <c r="B167" s="28" t="s">
        <v>365</v>
      </c>
      <c r="C167" s="5" t="s">
        <v>1363</v>
      </c>
      <c r="D167" s="4" t="s">
        <v>900</v>
      </c>
      <c r="E167" s="5" t="s">
        <v>329</v>
      </c>
      <c r="F167" s="4" t="s">
        <v>322</v>
      </c>
      <c r="G167" s="6"/>
      <c r="H167" s="32"/>
      <c r="I167" s="32"/>
      <c r="J167" s="32"/>
      <c r="K167" s="9">
        <v>1</v>
      </c>
      <c r="L167" s="10">
        <v>0.75</v>
      </c>
      <c r="M167" s="6" t="s">
        <v>1475</v>
      </c>
      <c r="N167" s="6" t="s">
        <v>323</v>
      </c>
      <c r="O167" s="5" t="s">
        <v>323</v>
      </c>
      <c r="P167" s="27" t="s">
        <v>6</v>
      </c>
      <c r="Q167" s="12" t="s">
        <v>142</v>
      </c>
      <c r="R167" s="6" t="s">
        <v>324</v>
      </c>
      <c r="S167" s="9">
        <f t="shared" si="54"/>
        <v>0</v>
      </c>
      <c r="T167" s="12" t="s">
        <v>197</v>
      </c>
      <c r="U167" s="6" t="s">
        <v>141</v>
      </c>
      <c r="V167" s="12" t="s">
        <v>197</v>
      </c>
      <c r="W167" s="6" t="s">
        <v>141</v>
      </c>
      <c r="Y167" s="6" t="s">
        <v>323</v>
      </c>
      <c r="AF167" s="3"/>
      <c r="AG167" s="3"/>
      <c r="AH167" s="3"/>
      <c r="AI167" s="3"/>
      <c r="AJ167" s="3"/>
      <c r="AK167" s="31"/>
    </row>
    <row r="168" spans="1:37" ht="76.5" customHeight="1" x14ac:dyDescent="0.25">
      <c r="A168" s="71" t="s">
        <v>922</v>
      </c>
      <c r="B168" s="28" t="s">
        <v>360</v>
      </c>
      <c r="C168" s="5" t="s">
        <v>1363</v>
      </c>
      <c r="D168" s="4" t="s">
        <v>798</v>
      </c>
      <c r="E168" s="5" t="s">
        <v>331</v>
      </c>
      <c r="F168" s="4" t="s">
        <v>332</v>
      </c>
      <c r="G168" s="6"/>
      <c r="H168" s="32"/>
      <c r="I168" s="32"/>
      <c r="J168" s="32"/>
      <c r="K168" s="9">
        <v>1</v>
      </c>
      <c r="L168" s="10">
        <v>1.1000000000000001</v>
      </c>
      <c r="M168" s="6" t="s">
        <v>333</v>
      </c>
      <c r="N168" s="6" t="s">
        <v>1448</v>
      </c>
      <c r="O168" s="5" t="s">
        <v>333</v>
      </c>
      <c r="P168" s="27" t="s">
        <v>6</v>
      </c>
      <c r="Q168" s="12" t="s">
        <v>142</v>
      </c>
      <c r="R168" s="6" t="s">
        <v>334</v>
      </c>
      <c r="S168" s="9">
        <f t="shared" si="54"/>
        <v>0</v>
      </c>
      <c r="T168" s="12" t="s">
        <v>197</v>
      </c>
      <c r="U168" s="6" t="s">
        <v>141</v>
      </c>
      <c r="V168" s="12" t="s">
        <v>197</v>
      </c>
      <c r="W168" s="6" t="s">
        <v>141</v>
      </c>
      <c r="Y168" s="6" t="s">
        <v>333</v>
      </c>
      <c r="AF168" s="3"/>
      <c r="AG168" s="3"/>
      <c r="AH168" s="3"/>
      <c r="AI168" s="3"/>
      <c r="AJ168" s="3"/>
      <c r="AK168" s="31"/>
    </row>
    <row r="169" spans="1:37" ht="76.5" customHeight="1" x14ac:dyDescent="0.25">
      <c r="A169" s="71" t="s">
        <v>923</v>
      </c>
      <c r="B169" s="28" t="s">
        <v>357</v>
      </c>
      <c r="C169" s="5" t="s">
        <v>1363</v>
      </c>
      <c r="D169" s="4" t="s">
        <v>2121</v>
      </c>
      <c r="E169" s="5" t="s">
        <v>2120</v>
      </c>
      <c r="F169" s="4" t="s">
        <v>335</v>
      </c>
      <c r="G169" s="6"/>
      <c r="H169" s="32"/>
      <c r="I169" s="32"/>
      <c r="J169" s="32"/>
      <c r="K169" s="9">
        <v>1</v>
      </c>
      <c r="L169" s="10">
        <v>1.1000000000000001</v>
      </c>
      <c r="M169" s="6" t="s">
        <v>2123</v>
      </c>
      <c r="N169" s="6" t="s">
        <v>1449</v>
      </c>
      <c r="O169" s="5" t="s">
        <v>336</v>
      </c>
      <c r="P169" s="27" t="s">
        <v>6</v>
      </c>
      <c r="Q169" s="12" t="s">
        <v>142</v>
      </c>
      <c r="R169" s="6" t="s">
        <v>255</v>
      </c>
      <c r="S169" s="9">
        <f t="shared" si="54"/>
        <v>0</v>
      </c>
      <c r="T169" s="12" t="s">
        <v>197</v>
      </c>
      <c r="U169" s="6" t="s">
        <v>141</v>
      </c>
      <c r="V169" s="12" t="s">
        <v>197</v>
      </c>
      <c r="W169" s="6" t="s">
        <v>141</v>
      </c>
      <c r="Y169" s="6" t="s">
        <v>336</v>
      </c>
      <c r="AF169" s="3"/>
      <c r="AG169" s="3"/>
      <c r="AH169" s="3"/>
      <c r="AI169" s="3"/>
      <c r="AJ169" s="3"/>
      <c r="AK169" s="31"/>
    </row>
    <row r="170" spans="1:37" ht="94.5" customHeight="1" x14ac:dyDescent="0.25">
      <c r="A170" s="71" t="s">
        <v>924</v>
      </c>
      <c r="B170" s="28" t="s">
        <v>360</v>
      </c>
      <c r="C170" s="5" t="s">
        <v>1363</v>
      </c>
      <c r="D170" s="4" t="s">
        <v>799</v>
      </c>
      <c r="E170" s="5" t="s">
        <v>348</v>
      </c>
      <c r="F170" s="4" t="s">
        <v>350</v>
      </c>
      <c r="G170" s="6"/>
      <c r="H170" s="32"/>
      <c r="I170" s="32"/>
      <c r="J170" s="32"/>
      <c r="K170" s="9">
        <v>1</v>
      </c>
      <c r="L170" s="10">
        <v>1.1000000000000001</v>
      </c>
      <c r="M170" s="6" t="s">
        <v>346</v>
      </c>
      <c r="N170" s="6" t="s">
        <v>346</v>
      </c>
      <c r="O170" s="5" t="s">
        <v>346</v>
      </c>
      <c r="P170" s="27" t="s">
        <v>6</v>
      </c>
      <c r="Q170" s="12" t="s">
        <v>142</v>
      </c>
      <c r="R170" s="6" t="s">
        <v>345</v>
      </c>
      <c r="S170" s="9">
        <f t="shared" ref="S170:S173" si="55">T170+V170</f>
        <v>0</v>
      </c>
      <c r="T170" s="12" t="s">
        <v>197</v>
      </c>
      <c r="U170" s="6" t="s">
        <v>141</v>
      </c>
      <c r="V170" s="12" t="s">
        <v>197</v>
      </c>
      <c r="W170" s="6" t="s">
        <v>141</v>
      </c>
      <c r="Y170" s="6" t="s">
        <v>346</v>
      </c>
      <c r="AF170" s="3"/>
      <c r="AG170" s="3"/>
      <c r="AH170" s="3"/>
      <c r="AI170" s="3"/>
      <c r="AJ170" s="3"/>
      <c r="AK170" s="31"/>
    </row>
    <row r="171" spans="1:37" ht="76.5" customHeight="1" x14ac:dyDescent="0.25">
      <c r="A171" s="71" t="s">
        <v>925</v>
      </c>
      <c r="B171" s="28" t="s">
        <v>360</v>
      </c>
      <c r="C171" s="101" t="s">
        <v>1363</v>
      </c>
      <c r="D171" s="102" t="s">
        <v>800</v>
      </c>
      <c r="E171" s="101" t="s">
        <v>348</v>
      </c>
      <c r="F171" s="102" t="s">
        <v>347</v>
      </c>
      <c r="G171" s="103"/>
      <c r="H171" s="104"/>
      <c r="I171" s="104"/>
      <c r="J171" s="104"/>
      <c r="K171" s="105">
        <v>1</v>
      </c>
      <c r="L171" s="106">
        <v>1.1000000000000001</v>
      </c>
      <c r="M171" s="103" t="s">
        <v>346</v>
      </c>
      <c r="N171" s="103" t="s">
        <v>346</v>
      </c>
      <c r="O171" s="101" t="s">
        <v>346</v>
      </c>
      <c r="P171" s="27" t="s">
        <v>6</v>
      </c>
      <c r="Q171" s="107" t="s">
        <v>142</v>
      </c>
      <c r="R171" s="103" t="s">
        <v>345</v>
      </c>
      <c r="S171" s="105">
        <f t="shared" si="55"/>
        <v>0</v>
      </c>
      <c r="T171" s="107" t="s">
        <v>197</v>
      </c>
      <c r="U171" s="103" t="s">
        <v>141</v>
      </c>
      <c r="V171" s="107" t="s">
        <v>197</v>
      </c>
      <c r="W171" s="103" t="s">
        <v>141</v>
      </c>
      <c r="Y171" s="103" t="s">
        <v>346</v>
      </c>
      <c r="AF171" s="3"/>
      <c r="AG171" s="3"/>
      <c r="AH171" s="3"/>
      <c r="AI171" s="3"/>
      <c r="AJ171" s="3"/>
      <c r="AK171" s="31"/>
    </row>
    <row r="172" spans="1:37" ht="99" customHeight="1" x14ac:dyDescent="0.25">
      <c r="A172" s="71" t="s">
        <v>926</v>
      </c>
      <c r="B172" s="108" t="s">
        <v>357</v>
      </c>
      <c r="C172" s="101" t="s">
        <v>1363</v>
      </c>
      <c r="D172" s="102" t="s">
        <v>871</v>
      </c>
      <c r="E172" s="101" t="s">
        <v>367</v>
      </c>
      <c r="F172" s="102" t="s">
        <v>368</v>
      </c>
      <c r="G172" s="103"/>
      <c r="H172" s="104"/>
      <c r="I172" s="104"/>
      <c r="J172" s="104"/>
      <c r="K172" s="105">
        <v>1</v>
      </c>
      <c r="L172" s="106">
        <v>0.75</v>
      </c>
      <c r="M172" s="103" t="s">
        <v>366</v>
      </c>
      <c r="N172" s="103" t="s">
        <v>366</v>
      </c>
      <c r="O172" s="101" t="s">
        <v>366</v>
      </c>
      <c r="P172" s="27" t="s">
        <v>6</v>
      </c>
      <c r="Q172" s="109">
        <v>1</v>
      </c>
      <c r="R172" s="103" t="s">
        <v>369</v>
      </c>
      <c r="S172" s="105">
        <f t="shared" si="55"/>
        <v>0</v>
      </c>
      <c r="T172" s="109">
        <v>0</v>
      </c>
      <c r="U172" s="103" t="s">
        <v>141</v>
      </c>
      <c r="V172" s="109">
        <v>0</v>
      </c>
      <c r="W172" s="103" t="s">
        <v>141</v>
      </c>
      <c r="X172" s="88">
        <v>1456.2</v>
      </c>
      <c r="Y172" s="103" t="s">
        <v>366</v>
      </c>
      <c r="AF172" s="3"/>
      <c r="AG172" s="3"/>
      <c r="AH172" s="3"/>
      <c r="AI172" s="3"/>
      <c r="AJ172" s="3"/>
      <c r="AK172" s="31"/>
    </row>
    <row r="173" spans="1:37" ht="103.5" customHeight="1" x14ac:dyDescent="0.25">
      <c r="A173" s="71" t="s">
        <v>927</v>
      </c>
      <c r="B173" s="108" t="s">
        <v>357</v>
      </c>
      <c r="C173" s="101" t="s">
        <v>1363</v>
      </c>
      <c r="D173" s="102" t="s">
        <v>872</v>
      </c>
      <c r="E173" s="101" t="s">
        <v>372</v>
      </c>
      <c r="F173" s="102" t="s">
        <v>374</v>
      </c>
      <c r="G173" s="103"/>
      <c r="H173" s="104"/>
      <c r="I173" s="104"/>
      <c r="J173" s="104"/>
      <c r="K173" s="105">
        <v>2</v>
      </c>
      <c r="L173" s="106">
        <v>0.75</v>
      </c>
      <c r="M173" s="103" t="s">
        <v>366</v>
      </c>
      <c r="N173" s="103" t="s">
        <v>366</v>
      </c>
      <c r="O173" s="101" t="s">
        <v>366</v>
      </c>
      <c r="P173" s="27" t="s">
        <v>6</v>
      </c>
      <c r="Q173" s="109">
        <v>2</v>
      </c>
      <c r="R173" s="102" t="s">
        <v>373</v>
      </c>
      <c r="S173" s="105">
        <f t="shared" si="55"/>
        <v>0</v>
      </c>
      <c r="T173" s="109">
        <v>0</v>
      </c>
      <c r="U173" s="103" t="s">
        <v>141</v>
      </c>
      <c r="V173" s="109">
        <v>0</v>
      </c>
      <c r="W173" s="103" t="s">
        <v>141</v>
      </c>
      <c r="X173" s="88">
        <v>2643.6</v>
      </c>
      <c r="Y173" s="103" t="s">
        <v>366</v>
      </c>
      <c r="AF173" s="3"/>
      <c r="AG173" s="3"/>
      <c r="AH173" s="3"/>
      <c r="AI173" s="3"/>
      <c r="AJ173" s="3"/>
      <c r="AK173" s="31"/>
    </row>
    <row r="174" spans="1:37" ht="66.75" customHeight="1" x14ac:dyDescent="0.25">
      <c r="A174" s="71" t="s">
        <v>928</v>
      </c>
      <c r="B174" s="28" t="s">
        <v>357</v>
      </c>
      <c r="C174" s="5" t="s">
        <v>1363</v>
      </c>
      <c r="D174" s="4" t="s">
        <v>2159</v>
      </c>
      <c r="E174" s="5" t="s">
        <v>2160</v>
      </c>
      <c r="F174" s="4" t="s">
        <v>1440</v>
      </c>
      <c r="G174" s="6"/>
      <c r="H174" s="32"/>
      <c r="I174" s="32"/>
      <c r="J174" s="32"/>
      <c r="K174" s="9">
        <v>2</v>
      </c>
      <c r="L174" s="10">
        <v>2.2000000000000002</v>
      </c>
      <c r="M174" s="6" t="s">
        <v>2161</v>
      </c>
      <c r="N174" s="6" t="s">
        <v>452</v>
      </c>
      <c r="O174" s="6" t="s">
        <v>452</v>
      </c>
      <c r="P174" s="27" t="s">
        <v>6</v>
      </c>
      <c r="Q174" s="12" t="s">
        <v>387</v>
      </c>
      <c r="R174" s="6" t="s">
        <v>2162</v>
      </c>
      <c r="S174" s="9">
        <f>T174+V174</f>
        <v>0</v>
      </c>
      <c r="T174" s="11">
        <v>0</v>
      </c>
      <c r="U174" s="6" t="s">
        <v>141</v>
      </c>
      <c r="V174" s="11">
        <v>0</v>
      </c>
      <c r="W174" s="6" t="s">
        <v>141</v>
      </c>
      <c r="X174" s="88">
        <v>160</v>
      </c>
      <c r="Y174" s="6" t="s">
        <v>451</v>
      </c>
      <c r="AF174" s="3"/>
      <c r="AG174" s="3"/>
      <c r="AH174" s="3"/>
      <c r="AI174" s="3"/>
      <c r="AJ174" s="3"/>
      <c r="AK174" s="31"/>
    </row>
    <row r="175" spans="1:37" ht="90" customHeight="1" x14ac:dyDescent="0.25">
      <c r="A175" s="71" t="s">
        <v>929</v>
      </c>
      <c r="B175" s="28" t="s">
        <v>360</v>
      </c>
      <c r="C175" s="5" t="s">
        <v>1363</v>
      </c>
      <c r="D175" s="4" t="s">
        <v>2130</v>
      </c>
      <c r="E175" s="5" t="s">
        <v>401</v>
      </c>
      <c r="F175" s="4" t="s">
        <v>402</v>
      </c>
      <c r="G175" s="81"/>
      <c r="H175" s="32"/>
      <c r="I175" s="32"/>
      <c r="J175" s="32"/>
      <c r="K175" s="9">
        <v>4</v>
      </c>
      <c r="L175" s="10">
        <v>3</v>
      </c>
      <c r="M175" s="6" t="s">
        <v>403</v>
      </c>
      <c r="N175" s="6" t="s">
        <v>1450</v>
      </c>
      <c r="O175" s="6" t="s">
        <v>403</v>
      </c>
      <c r="P175" s="27" t="s">
        <v>6</v>
      </c>
      <c r="Q175" s="11">
        <v>1</v>
      </c>
      <c r="R175" s="6" t="s">
        <v>404</v>
      </c>
      <c r="S175" s="9">
        <f t="shared" ref="S175" si="56">T175+V175</f>
        <v>0</v>
      </c>
      <c r="T175" s="11">
        <v>0</v>
      </c>
      <c r="U175" s="6" t="s">
        <v>141</v>
      </c>
      <c r="V175" s="11">
        <v>0</v>
      </c>
      <c r="W175" s="6" t="s">
        <v>141</v>
      </c>
      <c r="X175" s="90">
        <v>1263</v>
      </c>
      <c r="Y175" s="6" t="s">
        <v>403</v>
      </c>
      <c r="AF175" s="3"/>
      <c r="AG175" s="3"/>
      <c r="AH175" s="3"/>
      <c r="AI175" s="3"/>
      <c r="AJ175" s="3"/>
      <c r="AK175" s="31"/>
    </row>
    <row r="176" spans="1:37" ht="94.5" x14ac:dyDescent="0.25">
      <c r="A176" s="71" t="s">
        <v>930</v>
      </c>
      <c r="B176" s="28" t="s">
        <v>360</v>
      </c>
      <c r="C176" s="5" t="s">
        <v>1363</v>
      </c>
      <c r="D176" s="4" t="s">
        <v>801</v>
      </c>
      <c r="E176" s="5" t="s">
        <v>418</v>
      </c>
      <c r="F176" s="4" t="s">
        <v>419</v>
      </c>
      <c r="G176" s="81"/>
      <c r="H176" s="32"/>
      <c r="I176" s="32"/>
      <c r="J176" s="32"/>
      <c r="K176" s="9">
        <v>2</v>
      </c>
      <c r="L176" s="10">
        <v>1.2</v>
      </c>
      <c r="M176" s="6" t="s">
        <v>420</v>
      </c>
      <c r="N176" s="6" t="s">
        <v>420</v>
      </c>
      <c r="O176" s="6" t="s">
        <v>420</v>
      </c>
      <c r="P176" s="27" t="s">
        <v>6</v>
      </c>
      <c r="Q176" s="11">
        <v>1</v>
      </c>
      <c r="R176" s="6" t="s">
        <v>421</v>
      </c>
      <c r="S176" s="9">
        <f t="shared" ref="S176:S179" si="57">T176+V176</f>
        <v>0</v>
      </c>
      <c r="T176" s="11">
        <v>0</v>
      </c>
      <c r="U176" s="6" t="s">
        <v>141</v>
      </c>
      <c r="V176" s="11">
        <v>0</v>
      </c>
      <c r="W176" s="6" t="s">
        <v>141</v>
      </c>
      <c r="X176" s="82">
        <v>180</v>
      </c>
      <c r="Y176" s="6" t="s">
        <v>420</v>
      </c>
      <c r="AA176" s="46" t="s">
        <v>422</v>
      </c>
      <c r="AF176" s="3"/>
      <c r="AG176" s="3"/>
      <c r="AH176" s="3"/>
      <c r="AI176" s="3"/>
      <c r="AJ176" s="3"/>
      <c r="AK176" s="31"/>
    </row>
    <row r="177" spans="1:27" ht="94.5" x14ac:dyDescent="0.25">
      <c r="A177" s="71" t="s">
        <v>931</v>
      </c>
      <c r="B177" s="28" t="s">
        <v>360</v>
      </c>
      <c r="C177" s="5" t="s">
        <v>1363</v>
      </c>
      <c r="D177" s="4" t="s">
        <v>426</v>
      </c>
      <c r="E177" s="5" t="s">
        <v>427</v>
      </c>
      <c r="F177" s="4" t="s">
        <v>24</v>
      </c>
      <c r="G177" s="81"/>
      <c r="H177" s="32"/>
      <c r="I177" s="32"/>
      <c r="J177" s="32"/>
      <c r="K177" s="9">
        <v>3</v>
      </c>
      <c r="L177" s="10">
        <v>3.3</v>
      </c>
      <c r="M177" s="6" t="s">
        <v>1505</v>
      </c>
      <c r="N177" s="6" t="s">
        <v>1510</v>
      </c>
      <c r="O177" s="6" t="s">
        <v>428</v>
      </c>
      <c r="P177" s="27" t="s">
        <v>6</v>
      </c>
      <c r="Q177" s="11">
        <v>2</v>
      </c>
      <c r="R177" s="6" t="s">
        <v>429</v>
      </c>
      <c r="S177" s="9">
        <f t="shared" si="57"/>
        <v>0</v>
      </c>
      <c r="T177" s="11">
        <v>0</v>
      </c>
      <c r="U177" s="6" t="s">
        <v>141</v>
      </c>
      <c r="V177" s="11">
        <v>0</v>
      </c>
      <c r="W177" s="6" t="s">
        <v>141</v>
      </c>
      <c r="X177" s="82"/>
      <c r="Y177" s="6" t="s">
        <v>428</v>
      </c>
      <c r="AA177" s="46" t="s">
        <v>430</v>
      </c>
    </row>
    <row r="178" spans="1:27" ht="126" x14ac:dyDescent="0.25">
      <c r="A178" s="71" t="s">
        <v>932</v>
      </c>
      <c r="B178" s="28" t="s">
        <v>357</v>
      </c>
      <c r="C178" s="5" t="s">
        <v>1363</v>
      </c>
      <c r="D178" s="4" t="s">
        <v>873</v>
      </c>
      <c r="E178" s="5" t="s">
        <v>431</v>
      </c>
      <c r="F178" s="4" t="s">
        <v>374</v>
      </c>
      <c r="G178" s="81"/>
      <c r="H178" s="32"/>
      <c r="I178" s="32"/>
      <c r="J178" s="32"/>
      <c r="K178" s="9">
        <v>1</v>
      </c>
      <c r="L178" s="10">
        <v>0.75</v>
      </c>
      <c r="M178" s="6" t="s">
        <v>366</v>
      </c>
      <c r="N178" s="6" t="s">
        <v>366</v>
      </c>
      <c r="O178" s="6" t="s">
        <v>366</v>
      </c>
      <c r="P178" s="27" t="s">
        <v>6</v>
      </c>
      <c r="Q178" s="11">
        <v>1</v>
      </c>
      <c r="R178" s="6" t="s">
        <v>432</v>
      </c>
      <c r="S178" s="9">
        <f t="shared" si="57"/>
        <v>0</v>
      </c>
      <c r="T178" s="11">
        <v>0</v>
      </c>
      <c r="U178" s="6" t="s">
        <v>141</v>
      </c>
      <c r="V178" s="11">
        <v>0</v>
      </c>
      <c r="W178" s="6" t="s">
        <v>141</v>
      </c>
      <c r="X178" s="90">
        <v>2430.5</v>
      </c>
      <c r="Y178" s="6" t="s">
        <v>366</v>
      </c>
    </row>
    <row r="179" spans="1:27" ht="126" x14ac:dyDescent="0.25">
      <c r="A179" s="71" t="s">
        <v>933</v>
      </c>
      <c r="B179" s="28" t="s">
        <v>357</v>
      </c>
      <c r="C179" s="5" t="s">
        <v>1363</v>
      </c>
      <c r="D179" s="4" t="s">
        <v>874</v>
      </c>
      <c r="E179" s="5" t="s">
        <v>433</v>
      </c>
      <c r="F179" s="4" t="s">
        <v>434</v>
      </c>
      <c r="G179" s="81"/>
      <c r="H179" s="32"/>
      <c r="I179" s="32"/>
      <c r="J179" s="32"/>
      <c r="K179" s="9">
        <v>1</v>
      </c>
      <c r="L179" s="10">
        <v>0.75</v>
      </c>
      <c r="M179" s="6" t="s">
        <v>366</v>
      </c>
      <c r="N179" s="6" t="s">
        <v>366</v>
      </c>
      <c r="O179" s="6" t="s">
        <v>366</v>
      </c>
      <c r="P179" s="27" t="s">
        <v>6</v>
      </c>
      <c r="Q179" s="11">
        <v>1</v>
      </c>
      <c r="R179" s="6" t="s">
        <v>435</v>
      </c>
      <c r="S179" s="9">
        <f t="shared" si="57"/>
        <v>0</v>
      </c>
      <c r="T179" s="11">
        <v>0</v>
      </c>
      <c r="U179" s="6" t="s">
        <v>141</v>
      </c>
      <c r="V179" s="11">
        <v>0</v>
      </c>
      <c r="W179" s="6" t="s">
        <v>141</v>
      </c>
      <c r="X179" s="90">
        <v>2052</v>
      </c>
      <c r="Y179" s="6" t="s">
        <v>436</v>
      </c>
    </row>
    <row r="180" spans="1:27" ht="141.75" x14ac:dyDescent="0.25">
      <c r="A180" s="71" t="s">
        <v>934</v>
      </c>
      <c r="B180" s="28" t="s">
        <v>360</v>
      </c>
      <c r="C180" s="5" t="s">
        <v>1363</v>
      </c>
      <c r="D180" s="4" t="s">
        <v>802</v>
      </c>
      <c r="E180" s="5" t="s">
        <v>437</v>
      </c>
      <c r="F180" s="4" t="s">
        <v>221</v>
      </c>
      <c r="G180" s="81"/>
      <c r="H180" s="32"/>
      <c r="I180" s="32"/>
      <c r="J180" s="32"/>
      <c r="K180" s="9">
        <v>1</v>
      </c>
      <c r="L180" s="10">
        <v>0.75</v>
      </c>
      <c r="M180" s="6" t="s">
        <v>438</v>
      </c>
      <c r="N180" s="6" t="s">
        <v>438</v>
      </c>
      <c r="O180" s="6" t="s">
        <v>438</v>
      </c>
      <c r="P180" s="27" t="s">
        <v>6</v>
      </c>
      <c r="Q180" s="11">
        <v>3</v>
      </c>
      <c r="R180" s="6" t="s">
        <v>439</v>
      </c>
      <c r="S180" s="9">
        <f t="shared" ref="S180:S181" si="58">T180+V180</f>
        <v>0</v>
      </c>
      <c r="T180" s="11">
        <v>0</v>
      </c>
      <c r="U180" s="6" t="s">
        <v>141</v>
      </c>
      <c r="V180" s="11">
        <v>0</v>
      </c>
      <c r="W180" s="6" t="s">
        <v>141</v>
      </c>
      <c r="X180" s="90">
        <f>37.2+361.2+333</f>
        <v>731.4</v>
      </c>
      <c r="Y180" s="6" t="s">
        <v>438</v>
      </c>
    </row>
    <row r="181" spans="1:27" ht="141.75" x14ac:dyDescent="0.25">
      <c r="A181" s="71" t="s">
        <v>935</v>
      </c>
      <c r="B181" s="28" t="s">
        <v>360</v>
      </c>
      <c r="C181" s="5" t="s">
        <v>1363</v>
      </c>
      <c r="D181" s="4" t="s">
        <v>803</v>
      </c>
      <c r="E181" s="5" t="s">
        <v>440</v>
      </c>
      <c r="F181" s="4" t="s">
        <v>221</v>
      </c>
      <c r="G181" s="81"/>
      <c r="H181" s="32"/>
      <c r="I181" s="32"/>
      <c r="J181" s="32"/>
      <c r="K181" s="9">
        <v>1</v>
      </c>
      <c r="L181" s="10">
        <v>0.75</v>
      </c>
      <c r="M181" s="6" t="s">
        <v>438</v>
      </c>
      <c r="N181" s="6" t="s">
        <v>438</v>
      </c>
      <c r="O181" s="6" t="s">
        <v>438</v>
      </c>
      <c r="P181" s="27" t="s">
        <v>6</v>
      </c>
      <c r="Q181" s="11">
        <v>2</v>
      </c>
      <c r="R181" s="6" t="s">
        <v>441</v>
      </c>
      <c r="S181" s="9">
        <f t="shared" si="58"/>
        <v>0</v>
      </c>
      <c r="T181" s="11">
        <v>0</v>
      </c>
      <c r="U181" s="6" t="s">
        <v>141</v>
      </c>
      <c r="V181" s="11">
        <v>0</v>
      </c>
      <c r="W181" s="6" t="s">
        <v>141</v>
      </c>
      <c r="X181" s="90">
        <f>112.4+68.5</f>
        <v>180.9</v>
      </c>
      <c r="Y181" s="6" t="s">
        <v>438</v>
      </c>
    </row>
    <row r="182" spans="1:27" ht="78.75" customHeight="1" x14ac:dyDescent="0.25">
      <c r="A182" s="71" t="s">
        <v>936</v>
      </c>
      <c r="B182" s="28" t="s">
        <v>360</v>
      </c>
      <c r="C182" s="5" t="s">
        <v>1363</v>
      </c>
      <c r="D182" s="4" t="s">
        <v>804</v>
      </c>
      <c r="E182" s="5" t="s">
        <v>453</v>
      </c>
      <c r="F182" s="4" t="s">
        <v>454</v>
      </c>
      <c r="G182" s="6" t="s">
        <v>118</v>
      </c>
      <c r="H182" s="32"/>
      <c r="I182" s="32"/>
      <c r="J182" s="32"/>
      <c r="K182" s="9">
        <v>1</v>
      </c>
      <c r="L182" s="10">
        <v>1.1000000000000001</v>
      </c>
      <c r="M182" s="6" t="s">
        <v>1973</v>
      </c>
      <c r="N182" s="6" t="s">
        <v>1973</v>
      </c>
      <c r="O182" s="5" t="s">
        <v>1973</v>
      </c>
      <c r="P182" s="27" t="s">
        <v>6</v>
      </c>
      <c r="Q182" s="12" t="s">
        <v>142</v>
      </c>
      <c r="R182" s="6" t="s">
        <v>362</v>
      </c>
      <c r="S182" s="9">
        <f t="shared" ref="S182" si="59">T182+V182</f>
        <v>0</v>
      </c>
      <c r="T182" s="9">
        <v>0</v>
      </c>
      <c r="U182" s="6" t="s">
        <v>141</v>
      </c>
      <c r="V182" s="11">
        <v>0</v>
      </c>
      <c r="W182" s="6" t="s">
        <v>141</v>
      </c>
      <c r="X182" s="90">
        <v>684.1</v>
      </c>
      <c r="Y182" s="6" t="s">
        <v>1973</v>
      </c>
    </row>
    <row r="183" spans="1:27" ht="84" customHeight="1" x14ac:dyDescent="0.25">
      <c r="A183" s="71" t="s">
        <v>937</v>
      </c>
      <c r="B183" s="28" t="s">
        <v>365</v>
      </c>
      <c r="C183" s="5" t="s">
        <v>1363</v>
      </c>
      <c r="D183" s="4" t="s">
        <v>2181</v>
      </c>
      <c r="E183" s="5" t="s">
        <v>455</v>
      </c>
      <c r="F183" s="4" t="s">
        <v>456</v>
      </c>
      <c r="G183" s="6" t="s">
        <v>118</v>
      </c>
      <c r="H183" s="32"/>
      <c r="I183" s="32"/>
      <c r="J183" s="32"/>
      <c r="K183" s="9">
        <v>2</v>
      </c>
      <c r="L183" s="10">
        <v>2.2000000000000002</v>
      </c>
      <c r="M183" s="6" t="s">
        <v>1476</v>
      </c>
      <c r="N183" s="6" t="s">
        <v>1504</v>
      </c>
      <c r="O183" s="5" t="s">
        <v>457</v>
      </c>
      <c r="P183" s="27" t="s">
        <v>6</v>
      </c>
      <c r="Q183" s="12" t="s">
        <v>142</v>
      </c>
      <c r="R183" s="6" t="s">
        <v>1629</v>
      </c>
      <c r="S183" s="9">
        <f t="shared" ref="S183" si="60">T183+V183</f>
        <v>0</v>
      </c>
      <c r="T183" s="9">
        <v>0</v>
      </c>
      <c r="U183" s="6" t="s">
        <v>141</v>
      </c>
      <c r="V183" s="11">
        <v>0</v>
      </c>
      <c r="W183" s="6" t="s">
        <v>141</v>
      </c>
      <c r="X183" s="90">
        <v>690</v>
      </c>
      <c r="Y183" s="5" t="s">
        <v>457</v>
      </c>
    </row>
    <row r="184" spans="1:27" ht="89.25" customHeight="1" x14ac:dyDescent="0.25">
      <c r="A184" s="71" t="s">
        <v>938</v>
      </c>
      <c r="B184" s="28" t="s">
        <v>360</v>
      </c>
      <c r="C184" s="5" t="s">
        <v>1363</v>
      </c>
      <c r="D184" s="4" t="s">
        <v>805</v>
      </c>
      <c r="E184" s="5" t="s">
        <v>458</v>
      </c>
      <c r="F184" s="4" t="s">
        <v>459</v>
      </c>
      <c r="G184" s="6" t="s">
        <v>118</v>
      </c>
      <c r="H184" s="32"/>
      <c r="I184" s="32"/>
      <c r="J184" s="32"/>
      <c r="K184" s="9">
        <v>1</v>
      </c>
      <c r="L184" s="10">
        <v>0.75</v>
      </c>
      <c r="M184" s="6" t="s">
        <v>467</v>
      </c>
      <c r="N184" s="6" t="s">
        <v>467</v>
      </c>
      <c r="O184" s="5" t="s">
        <v>467</v>
      </c>
      <c r="P184" s="27" t="s">
        <v>6</v>
      </c>
      <c r="Q184" s="12" t="s">
        <v>142</v>
      </c>
      <c r="R184" s="6" t="s">
        <v>460</v>
      </c>
      <c r="S184" s="9">
        <f t="shared" ref="S184:S186" si="61">T184+V184</f>
        <v>0</v>
      </c>
      <c r="T184" s="9">
        <v>0</v>
      </c>
      <c r="U184" s="6" t="s">
        <v>141</v>
      </c>
      <c r="V184" s="11">
        <v>0</v>
      </c>
      <c r="W184" s="6" t="s">
        <v>141</v>
      </c>
      <c r="X184" s="90">
        <v>50</v>
      </c>
      <c r="Y184" s="5" t="s">
        <v>467</v>
      </c>
    </row>
    <row r="185" spans="1:27" ht="89.25" customHeight="1" x14ac:dyDescent="0.25">
      <c r="A185" s="71" t="s">
        <v>939</v>
      </c>
      <c r="B185" s="28" t="s">
        <v>360</v>
      </c>
      <c r="C185" s="5" t="s">
        <v>1363</v>
      </c>
      <c r="D185" s="4" t="s">
        <v>806</v>
      </c>
      <c r="E185" s="5" t="s">
        <v>461</v>
      </c>
      <c r="F185" s="4" t="s">
        <v>459</v>
      </c>
      <c r="G185" s="6" t="s">
        <v>118</v>
      </c>
      <c r="H185" s="32"/>
      <c r="I185" s="32"/>
      <c r="J185" s="32"/>
      <c r="K185" s="9">
        <v>1</v>
      </c>
      <c r="L185" s="10">
        <v>0.75</v>
      </c>
      <c r="M185" s="6" t="s">
        <v>467</v>
      </c>
      <c r="N185" s="6" t="s">
        <v>467</v>
      </c>
      <c r="O185" s="5" t="s">
        <v>467</v>
      </c>
      <c r="P185" s="27" t="s">
        <v>6</v>
      </c>
      <c r="Q185" s="12" t="s">
        <v>142</v>
      </c>
      <c r="R185" s="6" t="s">
        <v>462</v>
      </c>
      <c r="S185" s="9">
        <f t="shared" si="61"/>
        <v>0</v>
      </c>
      <c r="T185" s="9">
        <v>0</v>
      </c>
      <c r="U185" s="6" t="s">
        <v>141</v>
      </c>
      <c r="V185" s="11">
        <v>0</v>
      </c>
      <c r="W185" s="6" t="s">
        <v>141</v>
      </c>
      <c r="X185" s="90">
        <v>60</v>
      </c>
      <c r="Y185" s="5" t="s">
        <v>463</v>
      </c>
    </row>
    <row r="186" spans="1:27" ht="89.25" customHeight="1" x14ac:dyDescent="0.25">
      <c r="A186" s="71" t="s">
        <v>940</v>
      </c>
      <c r="B186" s="28" t="s">
        <v>360</v>
      </c>
      <c r="C186" s="5" t="s">
        <v>1363</v>
      </c>
      <c r="D186" s="4" t="s">
        <v>807</v>
      </c>
      <c r="E186" s="5" t="s">
        <v>465</v>
      </c>
      <c r="F186" s="4" t="s">
        <v>459</v>
      </c>
      <c r="G186" s="6" t="s">
        <v>118</v>
      </c>
      <c r="H186" s="32"/>
      <c r="I186" s="32"/>
      <c r="J186" s="32"/>
      <c r="K186" s="9">
        <v>1</v>
      </c>
      <c r="L186" s="10">
        <v>0.75</v>
      </c>
      <c r="M186" s="6" t="s">
        <v>467</v>
      </c>
      <c r="N186" s="6" t="s">
        <v>467</v>
      </c>
      <c r="O186" s="5" t="s">
        <v>467</v>
      </c>
      <c r="P186" s="27" t="s">
        <v>6</v>
      </c>
      <c r="Q186" s="12" t="s">
        <v>142</v>
      </c>
      <c r="R186" s="6" t="s">
        <v>464</v>
      </c>
      <c r="S186" s="9">
        <f t="shared" si="61"/>
        <v>0</v>
      </c>
      <c r="T186" s="9">
        <v>0</v>
      </c>
      <c r="U186" s="6" t="s">
        <v>141</v>
      </c>
      <c r="V186" s="11">
        <v>0</v>
      </c>
      <c r="W186" s="6" t="s">
        <v>141</v>
      </c>
      <c r="X186" s="90">
        <v>100</v>
      </c>
      <c r="Y186" s="5" t="s">
        <v>466</v>
      </c>
    </row>
    <row r="187" spans="1:27" ht="89.25" customHeight="1" x14ac:dyDescent="0.25">
      <c r="A187" s="71" t="s">
        <v>941</v>
      </c>
      <c r="B187" s="28" t="s">
        <v>360</v>
      </c>
      <c r="C187" s="5" t="s">
        <v>1363</v>
      </c>
      <c r="D187" s="4" t="s">
        <v>808</v>
      </c>
      <c r="E187" s="5" t="s">
        <v>468</v>
      </c>
      <c r="F187" s="4" t="s">
        <v>469</v>
      </c>
      <c r="G187" s="6" t="s">
        <v>118</v>
      </c>
      <c r="H187" s="32"/>
      <c r="I187" s="32"/>
      <c r="J187" s="32"/>
      <c r="K187" s="9">
        <v>1</v>
      </c>
      <c r="L187" s="10">
        <v>1.1000000000000001</v>
      </c>
      <c r="M187" s="6" t="s">
        <v>471</v>
      </c>
      <c r="N187" s="6" t="s">
        <v>1451</v>
      </c>
      <c r="O187" s="5" t="s">
        <v>471</v>
      </c>
      <c r="P187" s="27" t="s">
        <v>6</v>
      </c>
      <c r="Q187" s="12" t="s">
        <v>142</v>
      </c>
      <c r="R187" s="6" t="s">
        <v>470</v>
      </c>
      <c r="S187" s="9">
        <f t="shared" ref="S187" si="62">T187+V187</f>
        <v>0</v>
      </c>
      <c r="T187" s="9">
        <v>0</v>
      </c>
      <c r="U187" s="6" t="s">
        <v>141</v>
      </c>
      <c r="V187" s="11">
        <v>0</v>
      </c>
      <c r="W187" s="6" t="s">
        <v>141</v>
      </c>
      <c r="X187" s="90">
        <v>1020</v>
      </c>
      <c r="Y187" s="5" t="s">
        <v>471</v>
      </c>
    </row>
    <row r="188" spans="1:27" ht="71.25" customHeight="1" x14ac:dyDescent="0.25">
      <c r="A188" s="71" t="s">
        <v>942</v>
      </c>
      <c r="B188" s="28" t="s">
        <v>360</v>
      </c>
      <c r="C188" s="5" t="s">
        <v>1363</v>
      </c>
      <c r="D188" s="4" t="s">
        <v>809</v>
      </c>
      <c r="E188" s="5" t="s">
        <v>472</v>
      </c>
      <c r="F188" s="4" t="s">
        <v>473</v>
      </c>
      <c r="G188" s="6" t="s">
        <v>118</v>
      </c>
      <c r="H188" s="32"/>
      <c r="I188" s="32"/>
      <c r="J188" s="32"/>
      <c r="K188" s="9">
        <v>2</v>
      </c>
      <c r="L188" s="10">
        <v>1.5</v>
      </c>
      <c r="M188" s="6" t="s">
        <v>1477</v>
      </c>
      <c r="N188" s="6" t="s">
        <v>474</v>
      </c>
      <c r="O188" s="5" t="s">
        <v>474</v>
      </c>
      <c r="P188" s="27" t="s">
        <v>6</v>
      </c>
      <c r="Q188" s="12" t="s">
        <v>475</v>
      </c>
      <c r="R188" s="6" t="s">
        <v>220</v>
      </c>
      <c r="S188" s="9">
        <f t="shared" ref="S188" si="63">T188+V188</f>
        <v>0</v>
      </c>
      <c r="T188" s="9">
        <v>0</v>
      </c>
      <c r="U188" s="6" t="s">
        <v>141</v>
      </c>
      <c r="V188" s="11">
        <v>0</v>
      </c>
      <c r="W188" s="6" t="s">
        <v>141</v>
      </c>
      <c r="X188" s="90">
        <v>5800</v>
      </c>
      <c r="Y188" s="5" t="s">
        <v>474</v>
      </c>
    </row>
    <row r="189" spans="1:27" ht="157.5" x14ac:dyDescent="0.25">
      <c r="A189" s="71" t="s">
        <v>943</v>
      </c>
      <c r="B189" s="28" t="s">
        <v>360</v>
      </c>
      <c r="C189" s="5" t="s">
        <v>1363</v>
      </c>
      <c r="D189" s="4" t="s">
        <v>810</v>
      </c>
      <c r="E189" s="5" t="s">
        <v>476</v>
      </c>
      <c r="F189" s="4" t="s">
        <v>477</v>
      </c>
      <c r="G189" s="6" t="s">
        <v>118</v>
      </c>
      <c r="H189" s="32"/>
      <c r="I189" s="32"/>
      <c r="J189" s="32"/>
      <c r="K189" s="9">
        <v>1</v>
      </c>
      <c r="L189" s="10">
        <v>0.75</v>
      </c>
      <c r="M189" s="6" t="s">
        <v>478</v>
      </c>
      <c r="N189" s="6" t="s">
        <v>478</v>
      </c>
      <c r="O189" s="5" t="s">
        <v>478</v>
      </c>
      <c r="P189" s="27" t="s">
        <v>6</v>
      </c>
      <c r="Q189" s="12" t="s">
        <v>142</v>
      </c>
      <c r="R189" s="6" t="s">
        <v>479</v>
      </c>
      <c r="S189" s="9">
        <f t="shared" ref="S189:S190" si="64">T189+V189</f>
        <v>0</v>
      </c>
      <c r="T189" s="9">
        <v>0</v>
      </c>
      <c r="U189" s="6" t="s">
        <v>141</v>
      </c>
      <c r="V189" s="11">
        <v>0</v>
      </c>
      <c r="W189" s="6" t="s">
        <v>141</v>
      </c>
      <c r="X189" s="90">
        <v>5275.2</v>
      </c>
      <c r="Y189" s="5" t="s">
        <v>478</v>
      </c>
    </row>
    <row r="190" spans="1:27" ht="89.25" customHeight="1" x14ac:dyDescent="0.25">
      <c r="A190" s="71" t="s">
        <v>944</v>
      </c>
      <c r="B190" s="28" t="s">
        <v>360</v>
      </c>
      <c r="C190" s="5" t="s">
        <v>1363</v>
      </c>
      <c r="D190" s="4" t="s">
        <v>811</v>
      </c>
      <c r="E190" s="5" t="s">
        <v>476</v>
      </c>
      <c r="F190" s="4" t="s">
        <v>477</v>
      </c>
      <c r="G190" s="6" t="s">
        <v>118</v>
      </c>
      <c r="H190" s="32"/>
      <c r="I190" s="32"/>
      <c r="J190" s="32"/>
      <c r="K190" s="9">
        <v>1</v>
      </c>
      <c r="L190" s="10">
        <v>0.75</v>
      </c>
      <c r="M190" s="6" t="s">
        <v>478</v>
      </c>
      <c r="N190" s="6" t="s">
        <v>478</v>
      </c>
      <c r="O190" s="5" t="s">
        <v>478</v>
      </c>
      <c r="P190" s="27" t="s">
        <v>6</v>
      </c>
      <c r="Q190" s="12" t="s">
        <v>142</v>
      </c>
      <c r="R190" s="6" t="s">
        <v>479</v>
      </c>
      <c r="S190" s="9">
        <f t="shared" si="64"/>
        <v>0</v>
      </c>
      <c r="T190" s="9">
        <v>0</v>
      </c>
      <c r="U190" s="6" t="s">
        <v>141</v>
      </c>
      <c r="V190" s="11">
        <v>0</v>
      </c>
      <c r="W190" s="6" t="s">
        <v>141</v>
      </c>
      <c r="X190" s="90">
        <v>5275.2</v>
      </c>
      <c r="Y190" s="5" t="s">
        <v>478</v>
      </c>
    </row>
    <row r="191" spans="1:27" ht="173.25" x14ac:dyDescent="0.25">
      <c r="A191" s="71" t="s">
        <v>945</v>
      </c>
      <c r="B191" s="28" t="s">
        <v>360</v>
      </c>
      <c r="C191" s="5" t="s">
        <v>1363</v>
      </c>
      <c r="D191" s="4" t="s">
        <v>812</v>
      </c>
      <c r="E191" s="5" t="s">
        <v>480</v>
      </c>
      <c r="F191" s="4" t="s">
        <v>481</v>
      </c>
      <c r="G191" s="6" t="s">
        <v>118</v>
      </c>
      <c r="H191" s="32"/>
      <c r="I191" s="32"/>
      <c r="J191" s="32"/>
      <c r="K191" s="9">
        <v>1</v>
      </c>
      <c r="L191" s="10">
        <v>0.75</v>
      </c>
      <c r="M191" s="6" t="s">
        <v>482</v>
      </c>
      <c r="N191" s="6" t="s">
        <v>1452</v>
      </c>
      <c r="O191" s="5" t="s">
        <v>482</v>
      </c>
      <c r="P191" s="27" t="s">
        <v>6</v>
      </c>
      <c r="Q191" s="12" t="s">
        <v>142</v>
      </c>
      <c r="R191" s="6" t="s">
        <v>483</v>
      </c>
      <c r="S191" s="9">
        <f t="shared" ref="S191" si="65">T191+V191</f>
        <v>0</v>
      </c>
      <c r="T191" s="9">
        <v>0</v>
      </c>
      <c r="U191" s="6" t="s">
        <v>141</v>
      </c>
      <c r="V191" s="11">
        <v>0</v>
      </c>
      <c r="W191" s="6" t="s">
        <v>141</v>
      </c>
      <c r="X191" s="90">
        <v>250</v>
      </c>
      <c r="Y191" s="5" t="s">
        <v>482</v>
      </c>
    </row>
    <row r="192" spans="1:27" ht="95.25" customHeight="1" x14ac:dyDescent="0.25">
      <c r="A192" s="71" t="s">
        <v>946</v>
      </c>
      <c r="B192" s="28" t="s">
        <v>360</v>
      </c>
      <c r="C192" s="5" t="s">
        <v>1363</v>
      </c>
      <c r="D192" s="4" t="s">
        <v>813</v>
      </c>
      <c r="E192" s="5" t="s">
        <v>484</v>
      </c>
      <c r="F192" s="4" t="s">
        <v>485</v>
      </c>
      <c r="G192" s="6" t="s">
        <v>118</v>
      </c>
      <c r="H192" s="32"/>
      <c r="I192" s="32"/>
      <c r="J192" s="32"/>
      <c r="K192" s="9">
        <v>1</v>
      </c>
      <c r="L192" s="10">
        <v>0.75</v>
      </c>
      <c r="M192" s="6" t="s">
        <v>486</v>
      </c>
      <c r="N192" s="6" t="s">
        <v>486</v>
      </c>
      <c r="O192" s="5" t="s">
        <v>486</v>
      </c>
      <c r="P192" s="27" t="s">
        <v>6</v>
      </c>
      <c r="Q192" s="12" t="s">
        <v>142</v>
      </c>
      <c r="R192" s="6" t="s">
        <v>487</v>
      </c>
      <c r="S192" s="9">
        <f t="shared" ref="S192" si="66">T192+V192</f>
        <v>0</v>
      </c>
      <c r="T192" s="9">
        <v>0</v>
      </c>
      <c r="U192" s="6" t="s">
        <v>141</v>
      </c>
      <c r="V192" s="11">
        <v>0</v>
      </c>
      <c r="W192" s="6" t="s">
        <v>141</v>
      </c>
      <c r="X192" s="90">
        <v>109</v>
      </c>
      <c r="Y192" s="5" t="s">
        <v>486</v>
      </c>
    </row>
    <row r="193" spans="1:25" ht="97.5" customHeight="1" x14ac:dyDescent="0.25">
      <c r="A193" s="71" t="s">
        <v>947</v>
      </c>
      <c r="B193" s="28" t="s">
        <v>360</v>
      </c>
      <c r="C193" s="5" t="s">
        <v>1363</v>
      </c>
      <c r="D193" s="4" t="s">
        <v>814</v>
      </c>
      <c r="E193" s="5" t="s">
        <v>488</v>
      </c>
      <c r="F193" s="4" t="s">
        <v>485</v>
      </c>
      <c r="G193" s="6" t="s">
        <v>118</v>
      </c>
      <c r="H193" s="32"/>
      <c r="I193" s="32"/>
      <c r="J193" s="32"/>
      <c r="K193" s="9">
        <v>1</v>
      </c>
      <c r="L193" s="10">
        <v>0.75</v>
      </c>
      <c r="M193" s="6" t="s">
        <v>486</v>
      </c>
      <c r="N193" s="6" t="s">
        <v>486</v>
      </c>
      <c r="O193" s="5" t="s">
        <v>486</v>
      </c>
      <c r="P193" s="27" t="s">
        <v>6</v>
      </c>
      <c r="Q193" s="12" t="s">
        <v>142</v>
      </c>
      <c r="R193" s="6" t="s">
        <v>489</v>
      </c>
      <c r="S193" s="9">
        <f t="shared" ref="S193" si="67">T193+V193</f>
        <v>0</v>
      </c>
      <c r="T193" s="9">
        <v>0</v>
      </c>
      <c r="U193" s="6" t="s">
        <v>141</v>
      </c>
      <c r="V193" s="11">
        <v>0</v>
      </c>
      <c r="W193" s="6" t="s">
        <v>141</v>
      </c>
      <c r="X193" s="90">
        <v>116</v>
      </c>
      <c r="Y193" s="5" t="s">
        <v>486</v>
      </c>
    </row>
    <row r="194" spans="1:25" ht="157.5" x14ac:dyDescent="0.25">
      <c r="A194" s="71" t="s">
        <v>948</v>
      </c>
      <c r="B194" s="28" t="s">
        <v>360</v>
      </c>
      <c r="C194" s="5" t="s">
        <v>1363</v>
      </c>
      <c r="D194" s="4" t="s">
        <v>815</v>
      </c>
      <c r="E194" s="5" t="s">
        <v>490</v>
      </c>
      <c r="F194" s="4" t="s">
        <v>491</v>
      </c>
      <c r="G194" s="6" t="s">
        <v>118</v>
      </c>
      <c r="H194" s="32"/>
      <c r="I194" s="32"/>
      <c r="J194" s="32"/>
      <c r="K194" s="9">
        <v>1</v>
      </c>
      <c r="L194" s="10">
        <v>0.75</v>
      </c>
      <c r="M194" s="6" t="s">
        <v>492</v>
      </c>
      <c r="N194" s="6" t="s">
        <v>492</v>
      </c>
      <c r="O194" s="5" t="s">
        <v>492</v>
      </c>
      <c r="P194" s="27" t="s">
        <v>6</v>
      </c>
      <c r="Q194" s="12" t="s">
        <v>142</v>
      </c>
      <c r="R194" s="6" t="s">
        <v>493</v>
      </c>
      <c r="S194" s="9">
        <f t="shared" ref="S194" si="68">T194+V194</f>
        <v>0</v>
      </c>
      <c r="T194" s="9">
        <v>0</v>
      </c>
      <c r="U194" s="6" t="s">
        <v>141</v>
      </c>
      <c r="V194" s="11">
        <v>0</v>
      </c>
      <c r="W194" s="6" t="s">
        <v>141</v>
      </c>
      <c r="X194" s="90">
        <v>728</v>
      </c>
      <c r="Y194" s="5" t="s">
        <v>492</v>
      </c>
    </row>
    <row r="195" spans="1:25" ht="173.25" x14ac:dyDescent="0.25">
      <c r="A195" s="71" t="s">
        <v>949</v>
      </c>
      <c r="B195" s="28" t="s">
        <v>357</v>
      </c>
      <c r="C195" s="5" t="s">
        <v>1363</v>
      </c>
      <c r="D195" s="4" t="s">
        <v>875</v>
      </c>
      <c r="E195" s="5" t="s">
        <v>498</v>
      </c>
      <c r="F195" s="4" t="s">
        <v>499</v>
      </c>
      <c r="G195" s="6" t="s">
        <v>118</v>
      </c>
      <c r="H195" s="32"/>
      <c r="I195" s="32"/>
      <c r="J195" s="32"/>
      <c r="K195" s="9">
        <v>1</v>
      </c>
      <c r="L195" s="10">
        <v>0.75</v>
      </c>
      <c r="M195" s="6" t="s">
        <v>500</v>
      </c>
      <c r="N195" s="6" t="s">
        <v>1453</v>
      </c>
      <c r="O195" s="5" t="s">
        <v>500</v>
      </c>
      <c r="P195" s="27" t="s">
        <v>6</v>
      </c>
      <c r="Q195" s="11">
        <v>1</v>
      </c>
      <c r="R195" s="6" t="s">
        <v>501</v>
      </c>
      <c r="S195" s="9">
        <f t="shared" ref="S195" si="69">T195+V195</f>
        <v>0</v>
      </c>
      <c r="T195" s="9">
        <v>0</v>
      </c>
      <c r="U195" s="6" t="s">
        <v>141</v>
      </c>
      <c r="V195" s="11">
        <v>0</v>
      </c>
      <c r="W195" s="6" t="s">
        <v>141</v>
      </c>
      <c r="X195" s="82">
        <v>760</v>
      </c>
      <c r="Y195" s="5" t="s">
        <v>500</v>
      </c>
    </row>
    <row r="196" spans="1:25" ht="173.25" x14ac:dyDescent="0.25">
      <c r="A196" s="71" t="s">
        <v>950</v>
      </c>
      <c r="B196" s="28" t="s">
        <v>365</v>
      </c>
      <c r="C196" s="5" t="s">
        <v>1363</v>
      </c>
      <c r="D196" s="4" t="s">
        <v>2163</v>
      </c>
      <c r="E196" s="5" t="s">
        <v>502</v>
      </c>
      <c r="F196" s="4" t="s">
        <v>335</v>
      </c>
      <c r="G196" s="6" t="s">
        <v>118</v>
      </c>
      <c r="H196" s="32"/>
      <c r="I196" s="32"/>
      <c r="J196" s="32"/>
      <c r="K196" s="9">
        <v>2</v>
      </c>
      <c r="L196" s="10">
        <v>1.5</v>
      </c>
      <c r="M196" s="6" t="s">
        <v>1626</v>
      </c>
      <c r="N196" s="6" t="s">
        <v>1454</v>
      </c>
      <c r="O196" s="5" t="s">
        <v>503</v>
      </c>
      <c r="P196" s="27" t="s">
        <v>6</v>
      </c>
      <c r="Q196" s="11">
        <v>1</v>
      </c>
      <c r="R196" s="6" t="s">
        <v>1630</v>
      </c>
      <c r="S196" s="9">
        <f t="shared" ref="S196" si="70">T196+V196</f>
        <v>0</v>
      </c>
      <c r="T196" s="9">
        <v>0</v>
      </c>
      <c r="U196" s="6" t="s">
        <v>141</v>
      </c>
      <c r="V196" s="11">
        <v>0</v>
      </c>
      <c r="W196" s="6" t="s">
        <v>141</v>
      </c>
      <c r="X196" s="82">
        <v>519</v>
      </c>
      <c r="Y196" s="5" t="s">
        <v>503</v>
      </c>
    </row>
    <row r="197" spans="1:25" ht="189" x14ac:dyDescent="0.25">
      <c r="A197" s="71" t="s">
        <v>951</v>
      </c>
      <c r="B197" s="28" t="s">
        <v>360</v>
      </c>
      <c r="C197" s="5" t="s">
        <v>1363</v>
      </c>
      <c r="D197" s="4" t="s">
        <v>816</v>
      </c>
      <c r="E197" s="5" t="s">
        <v>505</v>
      </c>
      <c r="F197" s="4" t="s">
        <v>506</v>
      </c>
      <c r="G197" s="6" t="s">
        <v>118</v>
      </c>
      <c r="H197" s="32"/>
      <c r="I197" s="32"/>
      <c r="J197" s="32"/>
      <c r="K197" s="9">
        <v>1</v>
      </c>
      <c r="L197" s="10">
        <v>0.75</v>
      </c>
      <c r="M197" s="6" t="s">
        <v>507</v>
      </c>
      <c r="N197" s="6" t="s">
        <v>1455</v>
      </c>
      <c r="O197" s="5" t="s">
        <v>507</v>
      </c>
      <c r="P197" s="27" t="s">
        <v>6</v>
      </c>
      <c r="Q197" s="11">
        <v>1</v>
      </c>
      <c r="R197" s="6" t="s">
        <v>504</v>
      </c>
      <c r="S197" s="9">
        <f t="shared" ref="S197" si="71">T197+V197</f>
        <v>0</v>
      </c>
      <c r="T197" s="9">
        <v>0</v>
      </c>
      <c r="U197" s="6" t="s">
        <v>141</v>
      </c>
      <c r="V197" s="11">
        <v>0</v>
      </c>
      <c r="W197" s="6" t="s">
        <v>141</v>
      </c>
      <c r="X197" s="82">
        <v>750</v>
      </c>
      <c r="Y197" s="5" t="s">
        <v>507</v>
      </c>
    </row>
    <row r="198" spans="1:25" ht="157.5" x14ac:dyDescent="0.25">
      <c r="A198" s="71" t="s">
        <v>952</v>
      </c>
      <c r="B198" s="28" t="s">
        <v>360</v>
      </c>
      <c r="C198" s="5" t="s">
        <v>1363</v>
      </c>
      <c r="D198" s="4" t="s">
        <v>817</v>
      </c>
      <c r="E198" s="5" t="s">
        <v>509</v>
      </c>
      <c r="F198" s="4" t="s">
        <v>510</v>
      </c>
      <c r="G198" s="6" t="s">
        <v>118</v>
      </c>
      <c r="H198" s="32"/>
      <c r="I198" s="32"/>
      <c r="J198" s="32"/>
      <c r="K198" s="9">
        <v>2</v>
      </c>
      <c r="L198" s="10">
        <v>0.72</v>
      </c>
      <c r="M198" s="6" t="s">
        <v>511</v>
      </c>
      <c r="N198" s="6" t="s">
        <v>1456</v>
      </c>
      <c r="O198" s="5" t="s">
        <v>512</v>
      </c>
      <c r="P198" s="27" t="s">
        <v>6</v>
      </c>
      <c r="Q198" s="11">
        <v>1</v>
      </c>
      <c r="R198" s="6" t="s">
        <v>508</v>
      </c>
      <c r="S198" s="9">
        <f t="shared" ref="S198" si="72">T198+V198</f>
        <v>0</v>
      </c>
      <c r="T198" s="9">
        <v>0</v>
      </c>
      <c r="U198" s="6" t="s">
        <v>141</v>
      </c>
      <c r="V198" s="11">
        <v>0</v>
      </c>
      <c r="W198" s="6" t="s">
        <v>141</v>
      </c>
      <c r="X198" s="82">
        <v>283</v>
      </c>
      <c r="Y198" s="5" t="s">
        <v>512</v>
      </c>
    </row>
    <row r="199" spans="1:25" ht="189" x14ac:dyDescent="0.25">
      <c r="A199" s="71" t="s">
        <v>953</v>
      </c>
      <c r="B199" s="28" t="s">
        <v>365</v>
      </c>
      <c r="C199" s="5" t="s">
        <v>1363</v>
      </c>
      <c r="D199" s="4" t="s">
        <v>901</v>
      </c>
      <c r="E199" s="5" t="s">
        <v>514</v>
      </c>
      <c r="F199" s="4" t="s">
        <v>515</v>
      </c>
      <c r="G199" s="6" t="s">
        <v>118</v>
      </c>
      <c r="H199" s="32"/>
      <c r="I199" s="32"/>
      <c r="J199" s="32"/>
      <c r="K199" s="9">
        <v>2</v>
      </c>
      <c r="L199" s="10">
        <v>1.4</v>
      </c>
      <c r="M199" s="6" t="s">
        <v>516</v>
      </c>
      <c r="N199" s="6" t="s">
        <v>516</v>
      </c>
      <c r="O199" s="5" t="s">
        <v>516</v>
      </c>
      <c r="P199" s="27" t="s">
        <v>6</v>
      </c>
      <c r="Q199" s="11">
        <v>1</v>
      </c>
      <c r="R199" s="6" t="s">
        <v>513</v>
      </c>
      <c r="S199" s="9">
        <f t="shared" ref="S199" si="73">T199+V199</f>
        <v>0</v>
      </c>
      <c r="T199" s="9">
        <v>0</v>
      </c>
      <c r="U199" s="6" t="s">
        <v>141</v>
      </c>
      <c r="V199" s="11">
        <v>0</v>
      </c>
      <c r="W199" s="6" t="s">
        <v>141</v>
      </c>
      <c r="X199" s="82">
        <v>229</v>
      </c>
      <c r="Y199" s="5" t="s">
        <v>516</v>
      </c>
    </row>
    <row r="200" spans="1:25" ht="108" customHeight="1" x14ac:dyDescent="0.25">
      <c r="A200" s="71" t="s">
        <v>954</v>
      </c>
      <c r="B200" s="28" t="s">
        <v>365</v>
      </c>
      <c r="C200" s="5" t="s">
        <v>1363</v>
      </c>
      <c r="D200" s="4" t="s">
        <v>902</v>
      </c>
      <c r="E200" s="5" t="s">
        <v>519</v>
      </c>
      <c r="F200" s="4" t="s">
        <v>520</v>
      </c>
      <c r="G200" s="6" t="s">
        <v>118</v>
      </c>
      <c r="H200" s="32"/>
      <c r="I200" s="32"/>
      <c r="J200" s="32"/>
      <c r="K200" s="9">
        <v>1</v>
      </c>
      <c r="L200" s="10">
        <v>0.7</v>
      </c>
      <c r="M200" s="6" t="s">
        <v>516</v>
      </c>
      <c r="N200" s="6" t="s">
        <v>516</v>
      </c>
      <c r="O200" s="5" t="s">
        <v>518</v>
      </c>
      <c r="P200" s="27" t="s">
        <v>6</v>
      </c>
      <c r="Q200" s="11">
        <v>1</v>
      </c>
      <c r="R200" s="6" t="s">
        <v>517</v>
      </c>
      <c r="S200" s="9">
        <f t="shared" ref="S200" si="74">T200+V200</f>
        <v>0</v>
      </c>
      <c r="T200" s="9">
        <v>0</v>
      </c>
      <c r="U200" s="6" t="s">
        <v>141</v>
      </c>
      <c r="V200" s="11">
        <v>0</v>
      </c>
      <c r="W200" s="6" t="s">
        <v>141</v>
      </c>
      <c r="X200" s="82">
        <v>98</v>
      </c>
      <c r="Y200" s="5" t="s">
        <v>518</v>
      </c>
    </row>
    <row r="201" spans="1:25" ht="157.5" x14ac:dyDescent="0.25">
      <c r="A201" s="71" t="s">
        <v>955</v>
      </c>
      <c r="B201" s="28" t="s">
        <v>357</v>
      </c>
      <c r="C201" s="5" t="s">
        <v>1363</v>
      </c>
      <c r="D201" s="4" t="s">
        <v>876</v>
      </c>
      <c r="E201" s="5" t="s">
        <v>522</v>
      </c>
      <c r="F201" s="4" t="s">
        <v>523</v>
      </c>
      <c r="G201" s="6" t="s">
        <v>118</v>
      </c>
      <c r="H201" s="32"/>
      <c r="I201" s="32"/>
      <c r="J201" s="32"/>
      <c r="K201" s="9">
        <v>2</v>
      </c>
      <c r="L201" s="10">
        <v>1.5</v>
      </c>
      <c r="M201" s="6" t="s">
        <v>524</v>
      </c>
      <c r="N201" s="6" t="s">
        <v>1457</v>
      </c>
      <c r="O201" s="5" t="s">
        <v>524</v>
      </c>
      <c r="P201" s="27" t="s">
        <v>6</v>
      </c>
      <c r="Q201" s="11">
        <v>1</v>
      </c>
      <c r="R201" s="6" t="s">
        <v>521</v>
      </c>
      <c r="S201" s="9">
        <f t="shared" ref="S201" si="75">T201+V201</f>
        <v>0</v>
      </c>
      <c r="T201" s="9">
        <v>0</v>
      </c>
      <c r="U201" s="6" t="s">
        <v>141</v>
      </c>
      <c r="V201" s="11">
        <v>0</v>
      </c>
      <c r="W201" s="6" t="s">
        <v>141</v>
      </c>
      <c r="X201" s="82">
        <v>180</v>
      </c>
      <c r="Y201" s="5" t="s">
        <v>524</v>
      </c>
    </row>
    <row r="202" spans="1:25" ht="173.25" x14ac:dyDescent="0.25">
      <c r="A202" s="71" t="s">
        <v>956</v>
      </c>
      <c r="B202" s="28" t="s">
        <v>360</v>
      </c>
      <c r="C202" s="5" t="s">
        <v>1363</v>
      </c>
      <c r="D202" s="4" t="s">
        <v>818</v>
      </c>
      <c r="E202" s="5" t="s">
        <v>526</v>
      </c>
      <c r="F202" s="4" t="s">
        <v>477</v>
      </c>
      <c r="G202" s="6" t="s">
        <v>118</v>
      </c>
      <c r="H202" s="32"/>
      <c r="I202" s="32"/>
      <c r="J202" s="32"/>
      <c r="K202" s="9">
        <v>1</v>
      </c>
      <c r="L202" s="10">
        <v>0.75</v>
      </c>
      <c r="M202" s="6" t="s">
        <v>478</v>
      </c>
      <c r="N202" s="6" t="s">
        <v>1458</v>
      </c>
      <c r="O202" s="5" t="s">
        <v>527</v>
      </c>
      <c r="P202" s="27" t="s">
        <v>6</v>
      </c>
      <c r="Q202" s="11">
        <v>1</v>
      </c>
      <c r="R202" s="6" t="s">
        <v>525</v>
      </c>
      <c r="S202" s="9">
        <f t="shared" ref="S202" si="76">T202+V202</f>
        <v>0</v>
      </c>
      <c r="T202" s="9">
        <v>0</v>
      </c>
      <c r="U202" s="6" t="s">
        <v>141</v>
      </c>
      <c r="V202" s="11">
        <v>0</v>
      </c>
      <c r="W202" s="6" t="s">
        <v>141</v>
      </c>
      <c r="X202" s="82">
        <v>95</v>
      </c>
      <c r="Y202" s="5" t="s">
        <v>527</v>
      </c>
    </row>
    <row r="203" spans="1:25" ht="126" x14ac:dyDescent="0.25">
      <c r="A203" s="71" t="s">
        <v>957</v>
      </c>
      <c r="B203" s="28" t="s">
        <v>360</v>
      </c>
      <c r="C203" s="5" t="s">
        <v>1363</v>
      </c>
      <c r="D203" s="4" t="s">
        <v>819</v>
      </c>
      <c r="E203" s="5" t="s">
        <v>528</v>
      </c>
      <c r="F203" s="4" t="s">
        <v>532</v>
      </c>
      <c r="G203" s="6" t="s">
        <v>118</v>
      </c>
      <c r="H203" s="32"/>
      <c r="I203" s="32"/>
      <c r="J203" s="32"/>
      <c r="K203" s="9">
        <v>4</v>
      </c>
      <c r="L203" s="10">
        <v>4.4000000000000004</v>
      </c>
      <c r="M203" s="6" t="s">
        <v>530</v>
      </c>
      <c r="N203" s="6" t="s">
        <v>530</v>
      </c>
      <c r="O203" s="6" t="s">
        <v>530</v>
      </c>
      <c r="P203" s="27" t="s">
        <v>6</v>
      </c>
      <c r="Q203" s="11">
        <v>4</v>
      </c>
      <c r="R203" s="4" t="s">
        <v>533</v>
      </c>
      <c r="S203" s="9">
        <f t="shared" ref="S203:S206" si="77">T203+V203</f>
        <v>0</v>
      </c>
      <c r="T203" s="9">
        <v>0</v>
      </c>
      <c r="U203" s="6" t="s">
        <v>141</v>
      </c>
      <c r="V203" s="11">
        <v>0</v>
      </c>
      <c r="W203" s="6" t="s">
        <v>141</v>
      </c>
      <c r="X203" s="90">
        <v>9282.9</v>
      </c>
      <c r="Y203" s="6" t="s">
        <v>530</v>
      </c>
    </row>
    <row r="204" spans="1:25" ht="126" x14ac:dyDescent="0.25">
      <c r="A204" s="71" t="s">
        <v>958</v>
      </c>
      <c r="B204" s="28" t="s">
        <v>360</v>
      </c>
      <c r="C204" s="5" t="s">
        <v>1363</v>
      </c>
      <c r="D204" s="4" t="s">
        <v>820</v>
      </c>
      <c r="E204" s="5" t="s">
        <v>528</v>
      </c>
      <c r="F204" s="4" t="s">
        <v>529</v>
      </c>
      <c r="G204" s="6" t="s">
        <v>118</v>
      </c>
      <c r="H204" s="32"/>
      <c r="I204" s="32"/>
      <c r="J204" s="32"/>
      <c r="K204" s="9">
        <v>3</v>
      </c>
      <c r="L204" s="10">
        <v>3.3</v>
      </c>
      <c r="M204" s="6" t="s">
        <v>530</v>
      </c>
      <c r="N204" s="6" t="s">
        <v>530</v>
      </c>
      <c r="O204" s="6" t="s">
        <v>530</v>
      </c>
      <c r="P204" s="27" t="s">
        <v>6</v>
      </c>
      <c r="Q204" s="11">
        <v>4</v>
      </c>
      <c r="R204" s="4" t="s">
        <v>531</v>
      </c>
      <c r="S204" s="9">
        <f t="shared" si="77"/>
        <v>0</v>
      </c>
      <c r="T204" s="9">
        <v>0</v>
      </c>
      <c r="U204" s="6" t="s">
        <v>141</v>
      </c>
      <c r="V204" s="11">
        <v>0</v>
      </c>
      <c r="W204" s="6" t="s">
        <v>141</v>
      </c>
      <c r="X204" s="82">
        <v>13786</v>
      </c>
      <c r="Y204" s="6" t="s">
        <v>530</v>
      </c>
    </row>
    <row r="205" spans="1:25" ht="157.5" x14ac:dyDescent="0.25">
      <c r="A205" s="71" t="s">
        <v>959</v>
      </c>
      <c r="B205" s="28" t="s">
        <v>357</v>
      </c>
      <c r="C205" s="5" t="s">
        <v>1363</v>
      </c>
      <c r="D205" s="4" t="s">
        <v>877</v>
      </c>
      <c r="E205" s="5" t="s">
        <v>534</v>
      </c>
      <c r="F205" s="4" t="s">
        <v>1435</v>
      </c>
      <c r="G205" s="6" t="s">
        <v>118</v>
      </c>
      <c r="H205" s="32"/>
      <c r="I205" s="32"/>
      <c r="J205" s="32"/>
      <c r="K205" s="9">
        <v>2</v>
      </c>
      <c r="L205" s="10">
        <v>1.4</v>
      </c>
      <c r="M205" s="6" t="s">
        <v>566</v>
      </c>
      <c r="N205" s="6" t="s">
        <v>1459</v>
      </c>
      <c r="O205" s="6" t="s">
        <v>566</v>
      </c>
      <c r="P205" s="27" t="s">
        <v>6</v>
      </c>
      <c r="Q205" s="11">
        <v>1</v>
      </c>
      <c r="R205" s="4" t="s">
        <v>535</v>
      </c>
      <c r="S205" s="9">
        <f t="shared" si="77"/>
        <v>0</v>
      </c>
      <c r="T205" s="9">
        <v>0</v>
      </c>
      <c r="U205" s="6" t="s">
        <v>141</v>
      </c>
      <c r="V205" s="11">
        <v>0</v>
      </c>
      <c r="W205" s="6" t="s">
        <v>141</v>
      </c>
      <c r="X205" s="82">
        <v>160</v>
      </c>
      <c r="Y205" s="6" t="s">
        <v>566</v>
      </c>
    </row>
    <row r="206" spans="1:25" ht="157.5" x14ac:dyDescent="0.25">
      <c r="A206" s="71" t="s">
        <v>960</v>
      </c>
      <c r="B206" s="28" t="s">
        <v>360</v>
      </c>
      <c r="C206" s="5" t="s">
        <v>1363</v>
      </c>
      <c r="D206" s="4" t="s">
        <v>821</v>
      </c>
      <c r="E206" s="5" t="s">
        <v>536</v>
      </c>
      <c r="F206" s="4" t="s">
        <v>537</v>
      </c>
      <c r="G206" s="6" t="s">
        <v>118</v>
      </c>
      <c r="H206" s="32"/>
      <c r="I206" s="32"/>
      <c r="J206" s="32"/>
      <c r="K206" s="9">
        <v>2</v>
      </c>
      <c r="L206" s="10">
        <v>1.5</v>
      </c>
      <c r="M206" s="6" t="s">
        <v>538</v>
      </c>
      <c r="N206" s="6" t="s">
        <v>538</v>
      </c>
      <c r="O206" s="6" t="s">
        <v>538</v>
      </c>
      <c r="P206" s="27" t="s">
        <v>6</v>
      </c>
      <c r="Q206" s="11">
        <v>1</v>
      </c>
      <c r="R206" s="4" t="s">
        <v>539</v>
      </c>
      <c r="S206" s="9">
        <f t="shared" si="77"/>
        <v>0</v>
      </c>
      <c r="T206" s="9">
        <v>0</v>
      </c>
      <c r="U206" s="6" t="s">
        <v>141</v>
      </c>
      <c r="V206" s="11">
        <v>0</v>
      </c>
      <c r="W206" s="6" t="s">
        <v>141</v>
      </c>
      <c r="X206" s="82">
        <v>282</v>
      </c>
      <c r="Y206" s="6" t="s">
        <v>538</v>
      </c>
    </row>
    <row r="207" spans="1:25" ht="173.25" x14ac:dyDescent="0.25">
      <c r="A207" s="71" t="s">
        <v>961</v>
      </c>
      <c r="B207" s="28" t="s">
        <v>360</v>
      </c>
      <c r="C207" s="5" t="s">
        <v>1363</v>
      </c>
      <c r="D207" s="4" t="s">
        <v>822</v>
      </c>
      <c r="E207" s="5" t="s">
        <v>540</v>
      </c>
      <c r="F207" s="4" t="s">
        <v>541</v>
      </c>
      <c r="G207" s="6" t="s">
        <v>118</v>
      </c>
      <c r="H207" s="32"/>
      <c r="I207" s="32"/>
      <c r="J207" s="32"/>
      <c r="K207" s="9">
        <v>1</v>
      </c>
      <c r="L207" s="10">
        <v>0.75</v>
      </c>
      <c r="M207" s="6" t="s">
        <v>538</v>
      </c>
      <c r="N207" s="6" t="s">
        <v>538</v>
      </c>
      <c r="O207" s="6" t="s">
        <v>542</v>
      </c>
      <c r="P207" s="27" t="s">
        <v>6</v>
      </c>
      <c r="Q207" s="11">
        <v>1</v>
      </c>
      <c r="R207" s="4" t="s">
        <v>543</v>
      </c>
      <c r="S207" s="9">
        <f t="shared" ref="S207:S218" si="78">T207+V207</f>
        <v>0</v>
      </c>
      <c r="T207" s="9">
        <v>0</v>
      </c>
      <c r="U207" s="6" t="s">
        <v>141</v>
      </c>
      <c r="V207" s="11">
        <v>0</v>
      </c>
      <c r="W207" s="6" t="s">
        <v>141</v>
      </c>
      <c r="X207" s="82">
        <v>84</v>
      </c>
      <c r="Y207" s="6" t="s">
        <v>542</v>
      </c>
    </row>
    <row r="208" spans="1:25" ht="157.5" x14ac:dyDescent="0.25">
      <c r="A208" s="71" t="s">
        <v>962</v>
      </c>
      <c r="B208" s="28" t="s">
        <v>360</v>
      </c>
      <c r="C208" s="5" t="s">
        <v>1363</v>
      </c>
      <c r="D208" s="4" t="s">
        <v>823</v>
      </c>
      <c r="E208" s="5" t="s">
        <v>544</v>
      </c>
      <c r="F208" s="4" t="s">
        <v>545</v>
      </c>
      <c r="G208" s="6" t="s">
        <v>118</v>
      </c>
      <c r="H208" s="32"/>
      <c r="I208" s="32"/>
      <c r="J208" s="32"/>
      <c r="K208" s="9">
        <v>1</v>
      </c>
      <c r="L208" s="10">
        <v>0.75</v>
      </c>
      <c r="M208" s="6" t="s">
        <v>546</v>
      </c>
      <c r="N208" s="6" t="s">
        <v>546</v>
      </c>
      <c r="O208" s="6" t="s">
        <v>546</v>
      </c>
      <c r="P208" s="27" t="s">
        <v>6</v>
      </c>
      <c r="Q208" s="11">
        <v>2</v>
      </c>
      <c r="R208" s="4" t="s">
        <v>547</v>
      </c>
      <c r="S208" s="9">
        <f t="shared" si="78"/>
        <v>0</v>
      </c>
      <c r="T208" s="9">
        <v>0</v>
      </c>
      <c r="U208" s="6" t="s">
        <v>141</v>
      </c>
      <c r="V208" s="11">
        <v>0</v>
      </c>
      <c r="W208" s="6" t="s">
        <v>141</v>
      </c>
      <c r="X208" s="82">
        <v>782</v>
      </c>
      <c r="Y208" s="6" t="s">
        <v>546</v>
      </c>
    </row>
    <row r="209" spans="1:25" ht="157.5" x14ac:dyDescent="0.25">
      <c r="A209" s="71" t="s">
        <v>963</v>
      </c>
      <c r="B209" s="28" t="s">
        <v>365</v>
      </c>
      <c r="C209" s="5" t="s">
        <v>1363</v>
      </c>
      <c r="D209" s="4" t="s">
        <v>886</v>
      </c>
      <c r="E209" s="5" t="s">
        <v>548</v>
      </c>
      <c r="F209" s="4" t="s">
        <v>227</v>
      </c>
      <c r="G209" s="6" t="s">
        <v>118</v>
      </c>
      <c r="H209" s="32"/>
      <c r="I209" s="32"/>
      <c r="J209" s="32"/>
      <c r="K209" s="9">
        <v>4</v>
      </c>
      <c r="L209" s="10">
        <v>3</v>
      </c>
      <c r="M209" s="6" t="s">
        <v>1507</v>
      </c>
      <c r="N209" s="6" t="s">
        <v>1506</v>
      </c>
      <c r="O209" s="6" t="s">
        <v>549</v>
      </c>
      <c r="P209" s="27" t="s">
        <v>6</v>
      </c>
      <c r="Q209" s="11">
        <v>1</v>
      </c>
      <c r="R209" s="4" t="s">
        <v>550</v>
      </c>
      <c r="S209" s="9">
        <f t="shared" si="78"/>
        <v>0</v>
      </c>
      <c r="T209" s="9">
        <v>0</v>
      </c>
      <c r="U209" s="6" t="s">
        <v>141</v>
      </c>
      <c r="V209" s="11">
        <v>0</v>
      </c>
      <c r="W209" s="6" t="s">
        <v>141</v>
      </c>
      <c r="X209" s="82"/>
      <c r="Y209" s="6" t="s">
        <v>549</v>
      </c>
    </row>
    <row r="210" spans="1:25" ht="102.75" customHeight="1" x14ac:dyDescent="0.25">
      <c r="A210" s="71" t="s">
        <v>964</v>
      </c>
      <c r="B210" s="28" t="s">
        <v>365</v>
      </c>
      <c r="C210" s="5" t="s">
        <v>1363</v>
      </c>
      <c r="D210" s="4" t="s">
        <v>887</v>
      </c>
      <c r="E210" s="5" t="s">
        <v>551</v>
      </c>
      <c r="F210" s="4" t="s">
        <v>552</v>
      </c>
      <c r="G210" s="6" t="s">
        <v>118</v>
      </c>
      <c r="H210" s="32"/>
      <c r="I210" s="32"/>
      <c r="J210" s="32"/>
      <c r="K210" s="9">
        <v>1</v>
      </c>
      <c r="L210" s="10">
        <v>1.1000000000000001</v>
      </c>
      <c r="M210" s="6" t="s">
        <v>1436</v>
      </c>
      <c r="N210" s="6" t="s">
        <v>1436</v>
      </c>
      <c r="O210" s="6" t="s">
        <v>553</v>
      </c>
      <c r="P210" s="27" t="s">
        <v>6</v>
      </c>
      <c r="Q210" s="11">
        <v>1</v>
      </c>
      <c r="R210" s="4" t="s">
        <v>554</v>
      </c>
      <c r="S210" s="9">
        <f t="shared" si="78"/>
        <v>0</v>
      </c>
      <c r="T210" s="9">
        <v>0</v>
      </c>
      <c r="U210" s="6" t="s">
        <v>141</v>
      </c>
      <c r="V210" s="11">
        <v>0</v>
      </c>
      <c r="W210" s="6" t="s">
        <v>141</v>
      </c>
      <c r="X210" s="82">
        <v>320</v>
      </c>
      <c r="Y210" s="6" t="s">
        <v>553</v>
      </c>
    </row>
    <row r="211" spans="1:25" ht="108" customHeight="1" x14ac:dyDescent="0.25">
      <c r="A211" s="71" t="s">
        <v>965</v>
      </c>
      <c r="B211" s="28" t="s">
        <v>365</v>
      </c>
      <c r="C211" s="5" t="s">
        <v>1363</v>
      </c>
      <c r="D211" s="4" t="s">
        <v>888</v>
      </c>
      <c r="E211" s="5" t="s">
        <v>555</v>
      </c>
      <c r="F211" s="4" t="s">
        <v>556</v>
      </c>
      <c r="G211" s="6" t="s">
        <v>118</v>
      </c>
      <c r="H211" s="32"/>
      <c r="I211" s="32"/>
      <c r="J211" s="32"/>
      <c r="K211" s="9">
        <v>1</v>
      </c>
      <c r="L211" s="10">
        <v>1.1000000000000001</v>
      </c>
      <c r="M211" s="6" t="s">
        <v>1436</v>
      </c>
      <c r="N211" s="6" t="s">
        <v>1436</v>
      </c>
      <c r="O211" s="6" t="s">
        <v>558</v>
      </c>
      <c r="P211" s="27" t="s">
        <v>6</v>
      </c>
      <c r="Q211" s="11">
        <v>1</v>
      </c>
      <c r="R211" s="4" t="s">
        <v>557</v>
      </c>
      <c r="S211" s="9">
        <f t="shared" si="78"/>
        <v>0</v>
      </c>
      <c r="T211" s="9">
        <v>0</v>
      </c>
      <c r="U211" s="6" t="s">
        <v>141</v>
      </c>
      <c r="V211" s="11">
        <v>0</v>
      </c>
      <c r="W211" s="6" t="s">
        <v>141</v>
      </c>
      <c r="X211" s="82">
        <v>80</v>
      </c>
      <c r="Y211" s="6" t="s">
        <v>558</v>
      </c>
    </row>
    <row r="212" spans="1:25" ht="173.25" x14ac:dyDescent="0.25">
      <c r="A212" s="71" t="s">
        <v>966</v>
      </c>
      <c r="B212" s="28" t="s">
        <v>360</v>
      </c>
      <c r="C212" s="5" t="s">
        <v>1363</v>
      </c>
      <c r="D212" s="4" t="s">
        <v>824</v>
      </c>
      <c r="E212" s="5" t="s">
        <v>559</v>
      </c>
      <c r="F212" s="4" t="s">
        <v>560</v>
      </c>
      <c r="G212" s="6" t="s">
        <v>118</v>
      </c>
      <c r="H212" s="32"/>
      <c r="I212" s="32"/>
      <c r="J212" s="32"/>
      <c r="K212" s="9">
        <v>1</v>
      </c>
      <c r="L212" s="10">
        <v>0.75</v>
      </c>
      <c r="M212" s="6" t="s">
        <v>561</v>
      </c>
      <c r="N212" s="6" t="s">
        <v>1460</v>
      </c>
      <c r="O212" s="6" t="s">
        <v>561</v>
      </c>
      <c r="P212" s="27" t="s">
        <v>6</v>
      </c>
      <c r="Q212" s="11">
        <v>2</v>
      </c>
      <c r="R212" s="4" t="s">
        <v>562</v>
      </c>
      <c r="S212" s="9">
        <f t="shared" si="78"/>
        <v>0</v>
      </c>
      <c r="T212" s="9">
        <v>0</v>
      </c>
      <c r="U212" s="6" t="s">
        <v>141</v>
      </c>
      <c r="V212" s="11">
        <v>0</v>
      </c>
      <c r="W212" s="6" t="s">
        <v>141</v>
      </c>
      <c r="X212" s="82">
        <f>196+79</f>
        <v>275</v>
      </c>
      <c r="Y212" s="6" t="s">
        <v>561</v>
      </c>
    </row>
    <row r="213" spans="1:25" ht="173.25" x14ac:dyDescent="0.25">
      <c r="A213" s="71" t="s">
        <v>967</v>
      </c>
      <c r="B213" s="28" t="s">
        <v>357</v>
      </c>
      <c r="C213" s="5" t="s">
        <v>1363</v>
      </c>
      <c r="D213" s="4" t="s">
        <v>897</v>
      </c>
      <c r="E213" s="5" t="s">
        <v>563</v>
      </c>
      <c r="F213" s="4" t="s">
        <v>1435</v>
      </c>
      <c r="G213" s="6" t="s">
        <v>118</v>
      </c>
      <c r="H213" s="32"/>
      <c r="I213" s="32"/>
      <c r="J213" s="32"/>
      <c r="K213" s="9">
        <v>1</v>
      </c>
      <c r="L213" s="10">
        <v>0.75</v>
      </c>
      <c r="M213" s="6" t="s">
        <v>566</v>
      </c>
      <c r="N213" s="6" t="s">
        <v>1459</v>
      </c>
      <c r="O213" s="6" t="s">
        <v>565</v>
      </c>
      <c r="P213" s="27" t="s">
        <v>6</v>
      </c>
      <c r="Q213" s="11">
        <v>1</v>
      </c>
      <c r="R213" s="4" t="s">
        <v>564</v>
      </c>
      <c r="S213" s="9">
        <f t="shared" si="78"/>
        <v>0</v>
      </c>
      <c r="T213" s="9">
        <v>0</v>
      </c>
      <c r="U213" s="6" t="s">
        <v>141</v>
      </c>
      <c r="V213" s="11">
        <v>0</v>
      </c>
      <c r="W213" s="6" t="s">
        <v>141</v>
      </c>
      <c r="X213" s="82">
        <v>50</v>
      </c>
      <c r="Y213" s="6" t="s">
        <v>565</v>
      </c>
    </row>
    <row r="214" spans="1:25" ht="77.25" customHeight="1" x14ac:dyDescent="0.25">
      <c r="A214" s="71" t="s">
        <v>968</v>
      </c>
      <c r="B214" s="28" t="s">
        <v>360</v>
      </c>
      <c r="C214" s="5" t="s">
        <v>1363</v>
      </c>
      <c r="D214" s="4" t="s">
        <v>825</v>
      </c>
      <c r="E214" s="5" t="s">
        <v>567</v>
      </c>
      <c r="F214" s="4" t="s">
        <v>572</v>
      </c>
      <c r="G214" s="6" t="s">
        <v>118</v>
      </c>
      <c r="H214" s="32"/>
      <c r="I214" s="32"/>
      <c r="J214" s="32"/>
      <c r="K214" s="9">
        <v>5</v>
      </c>
      <c r="L214" s="10">
        <v>3.75</v>
      </c>
      <c r="M214" s="6" t="s">
        <v>568</v>
      </c>
      <c r="N214" s="6" t="s">
        <v>1461</v>
      </c>
      <c r="O214" s="6" t="s">
        <v>568</v>
      </c>
      <c r="P214" s="27" t="s">
        <v>6</v>
      </c>
      <c r="Q214" s="11">
        <v>2</v>
      </c>
      <c r="R214" s="4" t="s">
        <v>569</v>
      </c>
      <c r="S214" s="9">
        <f t="shared" si="78"/>
        <v>0</v>
      </c>
      <c r="T214" s="9">
        <v>0</v>
      </c>
      <c r="U214" s="6" t="s">
        <v>141</v>
      </c>
      <c r="V214" s="11">
        <v>0</v>
      </c>
      <c r="W214" s="6" t="s">
        <v>141</v>
      </c>
      <c r="X214" s="90">
        <v>1034.5</v>
      </c>
      <c r="Y214" s="6" t="s">
        <v>568</v>
      </c>
    </row>
    <row r="215" spans="1:25" ht="157.5" x14ac:dyDescent="0.25">
      <c r="A215" s="71" t="s">
        <v>969</v>
      </c>
      <c r="B215" s="28" t="s">
        <v>360</v>
      </c>
      <c r="C215" s="5" t="s">
        <v>1363</v>
      </c>
      <c r="D215" s="4" t="s">
        <v>826</v>
      </c>
      <c r="E215" s="5" t="s">
        <v>570</v>
      </c>
      <c r="F215" s="4" t="s">
        <v>571</v>
      </c>
      <c r="G215" s="6" t="s">
        <v>118</v>
      </c>
      <c r="H215" s="32"/>
      <c r="I215" s="32"/>
      <c r="J215" s="32"/>
      <c r="K215" s="9">
        <v>2</v>
      </c>
      <c r="L215" s="10">
        <v>1.5</v>
      </c>
      <c r="M215" s="6" t="s">
        <v>573</v>
      </c>
      <c r="N215" s="6" t="s">
        <v>573</v>
      </c>
      <c r="O215" s="6" t="s">
        <v>573</v>
      </c>
      <c r="P215" s="27" t="s">
        <v>6</v>
      </c>
      <c r="Q215" s="11">
        <v>1</v>
      </c>
      <c r="R215" s="4" t="s">
        <v>574</v>
      </c>
      <c r="S215" s="9">
        <f t="shared" si="78"/>
        <v>0</v>
      </c>
      <c r="T215" s="9">
        <v>0</v>
      </c>
      <c r="U215" s="6" t="s">
        <v>141</v>
      </c>
      <c r="V215" s="11">
        <v>0</v>
      </c>
      <c r="W215" s="6" t="s">
        <v>141</v>
      </c>
      <c r="X215" s="82">
        <v>127</v>
      </c>
      <c r="Y215" s="6" t="s">
        <v>573</v>
      </c>
    </row>
    <row r="216" spans="1:25" ht="89.25" customHeight="1" x14ac:dyDescent="0.25">
      <c r="A216" s="71" t="s">
        <v>970</v>
      </c>
      <c r="B216" s="28" t="s">
        <v>360</v>
      </c>
      <c r="C216" s="5" t="s">
        <v>1363</v>
      </c>
      <c r="D216" s="4" t="s">
        <v>827</v>
      </c>
      <c r="E216" s="5" t="s">
        <v>575</v>
      </c>
      <c r="F216" s="4" t="s">
        <v>576</v>
      </c>
      <c r="G216" s="6" t="s">
        <v>118</v>
      </c>
      <c r="H216" s="32"/>
      <c r="I216" s="32"/>
      <c r="J216" s="32"/>
      <c r="K216" s="9">
        <v>1</v>
      </c>
      <c r="L216" s="10">
        <v>0.66</v>
      </c>
      <c r="M216" s="6" t="s">
        <v>573</v>
      </c>
      <c r="N216" s="6" t="s">
        <v>573</v>
      </c>
      <c r="O216" s="6" t="s">
        <v>577</v>
      </c>
      <c r="P216" s="27" t="s">
        <v>6</v>
      </c>
      <c r="Q216" s="11">
        <v>1</v>
      </c>
      <c r="R216" s="4" t="s">
        <v>578</v>
      </c>
      <c r="S216" s="9">
        <f t="shared" si="78"/>
        <v>0</v>
      </c>
      <c r="T216" s="9">
        <v>0</v>
      </c>
      <c r="U216" s="6" t="s">
        <v>141</v>
      </c>
      <c r="V216" s="11">
        <v>0</v>
      </c>
      <c r="W216" s="6" t="s">
        <v>141</v>
      </c>
      <c r="X216" s="82">
        <v>81</v>
      </c>
      <c r="Y216" s="6" t="s">
        <v>577</v>
      </c>
    </row>
    <row r="217" spans="1:25" ht="173.25" x14ac:dyDescent="0.25">
      <c r="A217" s="71" t="s">
        <v>971</v>
      </c>
      <c r="B217" s="28" t="s">
        <v>360</v>
      </c>
      <c r="C217" s="5" t="s">
        <v>1363</v>
      </c>
      <c r="D217" s="4" t="s">
        <v>828</v>
      </c>
      <c r="E217" s="5" t="s">
        <v>579</v>
      </c>
      <c r="F217" s="4" t="s">
        <v>580</v>
      </c>
      <c r="G217" s="6" t="s">
        <v>118</v>
      </c>
      <c r="H217" s="32"/>
      <c r="I217" s="32"/>
      <c r="J217" s="32"/>
      <c r="K217" s="9">
        <v>2</v>
      </c>
      <c r="L217" s="10">
        <v>1.5</v>
      </c>
      <c r="M217" s="6" t="s">
        <v>573</v>
      </c>
      <c r="N217" s="6" t="s">
        <v>573</v>
      </c>
      <c r="O217" s="6" t="s">
        <v>581</v>
      </c>
      <c r="P217" s="27" t="s">
        <v>6</v>
      </c>
      <c r="Q217" s="11">
        <v>1</v>
      </c>
      <c r="R217" s="4" t="s">
        <v>582</v>
      </c>
      <c r="S217" s="9">
        <f t="shared" si="78"/>
        <v>0</v>
      </c>
      <c r="T217" s="9">
        <v>0</v>
      </c>
      <c r="U217" s="6" t="s">
        <v>141</v>
      </c>
      <c r="V217" s="11">
        <v>0</v>
      </c>
      <c r="W217" s="6" t="s">
        <v>141</v>
      </c>
      <c r="X217" s="82">
        <v>151</v>
      </c>
      <c r="Y217" s="6" t="s">
        <v>581</v>
      </c>
    </row>
    <row r="218" spans="1:25" ht="157.5" x14ac:dyDescent="0.25">
      <c r="A218" s="71" t="s">
        <v>972</v>
      </c>
      <c r="B218" s="28" t="s">
        <v>360</v>
      </c>
      <c r="C218" s="5" t="s">
        <v>1363</v>
      </c>
      <c r="D218" s="4" t="s">
        <v>829</v>
      </c>
      <c r="E218" s="5" t="s">
        <v>583</v>
      </c>
      <c r="F218" s="4" t="s">
        <v>584</v>
      </c>
      <c r="G218" s="6" t="s">
        <v>118</v>
      </c>
      <c r="H218" s="32"/>
      <c r="I218" s="32"/>
      <c r="J218" s="32"/>
      <c r="K218" s="9">
        <v>1</v>
      </c>
      <c r="L218" s="10">
        <v>0.36</v>
      </c>
      <c r="M218" s="6" t="s">
        <v>585</v>
      </c>
      <c r="N218" s="6" t="s">
        <v>1462</v>
      </c>
      <c r="O218" s="6" t="s">
        <v>585</v>
      </c>
      <c r="P218" s="27" t="s">
        <v>6</v>
      </c>
      <c r="Q218" s="11">
        <v>1</v>
      </c>
      <c r="R218" s="4" t="s">
        <v>586</v>
      </c>
      <c r="S218" s="9">
        <f t="shared" si="78"/>
        <v>0</v>
      </c>
      <c r="T218" s="9">
        <v>0</v>
      </c>
      <c r="U218" s="6" t="s">
        <v>141</v>
      </c>
      <c r="V218" s="11">
        <v>0</v>
      </c>
      <c r="W218" s="6" t="s">
        <v>141</v>
      </c>
      <c r="X218" s="82">
        <v>3</v>
      </c>
      <c r="Y218" s="6" t="s">
        <v>585</v>
      </c>
    </row>
    <row r="219" spans="1:25" ht="122.25" customHeight="1" x14ac:dyDescent="0.25">
      <c r="A219" s="71" t="s">
        <v>973</v>
      </c>
      <c r="B219" s="28" t="s">
        <v>365</v>
      </c>
      <c r="C219" s="5" t="s">
        <v>1363</v>
      </c>
      <c r="D219" s="4" t="s">
        <v>2182</v>
      </c>
      <c r="E219" s="5" t="s">
        <v>587</v>
      </c>
      <c r="F219" s="4" t="s">
        <v>588</v>
      </c>
      <c r="G219" s="6" t="s">
        <v>118</v>
      </c>
      <c r="H219" s="32"/>
      <c r="I219" s="32"/>
      <c r="J219" s="32"/>
      <c r="K219" s="9">
        <v>1</v>
      </c>
      <c r="L219" s="10">
        <v>0.75</v>
      </c>
      <c r="M219" s="6" t="s">
        <v>1626</v>
      </c>
      <c r="N219" s="6" t="s">
        <v>1454</v>
      </c>
      <c r="O219" s="6" t="s">
        <v>589</v>
      </c>
      <c r="P219" s="27" t="s">
        <v>6</v>
      </c>
      <c r="Q219" s="11">
        <v>1</v>
      </c>
      <c r="R219" s="4" t="s">
        <v>1631</v>
      </c>
      <c r="S219" s="9">
        <f t="shared" ref="S219" si="79">T219+V219</f>
        <v>0</v>
      </c>
      <c r="T219" s="9">
        <v>0</v>
      </c>
      <c r="U219" s="6" t="s">
        <v>141</v>
      </c>
      <c r="V219" s="11">
        <v>0</v>
      </c>
      <c r="W219" s="6" t="s">
        <v>141</v>
      </c>
      <c r="X219" s="82">
        <v>178</v>
      </c>
      <c r="Y219" s="6" t="s">
        <v>589</v>
      </c>
    </row>
    <row r="220" spans="1:25" ht="157.5" x14ac:dyDescent="0.25">
      <c r="A220" s="71" t="s">
        <v>974</v>
      </c>
      <c r="B220" s="28" t="s">
        <v>360</v>
      </c>
      <c r="C220" s="5" t="s">
        <v>1363</v>
      </c>
      <c r="D220" s="4" t="s">
        <v>830</v>
      </c>
      <c r="E220" s="5" t="s">
        <v>590</v>
      </c>
      <c r="F220" s="4" t="s">
        <v>591</v>
      </c>
      <c r="G220" s="6" t="s">
        <v>118</v>
      </c>
      <c r="H220" s="32"/>
      <c r="I220" s="32"/>
      <c r="J220" s="32"/>
      <c r="K220" s="9">
        <v>1</v>
      </c>
      <c r="L220" s="10">
        <v>0.36</v>
      </c>
      <c r="M220" s="6" t="s">
        <v>471</v>
      </c>
      <c r="N220" s="6" t="s">
        <v>471</v>
      </c>
      <c r="O220" s="6" t="s">
        <v>592</v>
      </c>
      <c r="P220" s="27" t="s">
        <v>6</v>
      </c>
      <c r="Q220" s="11">
        <v>1</v>
      </c>
      <c r="R220" s="4" t="s">
        <v>593</v>
      </c>
      <c r="S220" s="9">
        <f t="shared" ref="S220:S221" si="80">T220+V220</f>
        <v>0</v>
      </c>
      <c r="T220" s="9">
        <v>0</v>
      </c>
      <c r="U220" s="6" t="s">
        <v>141</v>
      </c>
      <c r="V220" s="11">
        <v>0</v>
      </c>
      <c r="W220" s="6" t="s">
        <v>141</v>
      </c>
      <c r="X220" s="82">
        <v>93</v>
      </c>
      <c r="Y220" s="6" t="s">
        <v>592</v>
      </c>
    </row>
    <row r="221" spans="1:25" ht="157.5" x14ac:dyDescent="0.25">
      <c r="A221" s="71" t="s">
        <v>975</v>
      </c>
      <c r="B221" s="28" t="s">
        <v>360</v>
      </c>
      <c r="C221" s="5" t="s">
        <v>1363</v>
      </c>
      <c r="D221" s="4" t="s">
        <v>831</v>
      </c>
      <c r="E221" s="5" t="s">
        <v>594</v>
      </c>
      <c r="F221" s="4" t="s">
        <v>595</v>
      </c>
      <c r="G221" s="6" t="s">
        <v>118</v>
      </c>
      <c r="H221" s="32"/>
      <c r="I221" s="32"/>
      <c r="J221" s="32"/>
      <c r="K221" s="9">
        <v>2</v>
      </c>
      <c r="L221" s="10">
        <v>0.72</v>
      </c>
      <c r="M221" s="6" t="s">
        <v>471</v>
      </c>
      <c r="N221" s="6" t="s">
        <v>471</v>
      </c>
      <c r="O221" s="6" t="s">
        <v>596</v>
      </c>
      <c r="P221" s="27" t="s">
        <v>6</v>
      </c>
      <c r="Q221" s="11">
        <v>1</v>
      </c>
      <c r="R221" s="4" t="s">
        <v>597</v>
      </c>
      <c r="S221" s="9">
        <f t="shared" si="80"/>
        <v>0</v>
      </c>
      <c r="T221" s="9">
        <v>0</v>
      </c>
      <c r="U221" s="6" t="s">
        <v>141</v>
      </c>
      <c r="V221" s="11">
        <v>0</v>
      </c>
      <c r="W221" s="6" t="s">
        <v>141</v>
      </c>
      <c r="X221" s="82">
        <v>250</v>
      </c>
      <c r="Y221" s="6" t="s">
        <v>596</v>
      </c>
    </row>
    <row r="222" spans="1:25" ht="157.5" x14ac:dyDescent="0.25">
      <c r="A222" s="71" t="s">
        <v>976</v>
      </c>
      <c r="B222" s="28" t="s">
        <v>360</v>
      </c>
      <c r="C222" s="5" t="s">
        <v>1363</v>
      </c>
      <c r="D222" s="4" t="s">
        <v>832</v>
      </c>
      <c r="E222" s="5" t="s">
        <v>598</v>
      </c>
      <c r="F222" s="4" t="s">
        <v>595</v>
      </c>
      <c r="G222" s="6" t="s">
        <v>118</v>
      </c>
      <c r="H222" s="32"/>
      <c r="I222" s="32"/>
      <c r="J222" s="32"/>
      <c r="K222" s="9">
        <v>2</v>
      </c>
      <c r="L222" s="10">
        <v>0.72</v>
      </c>
      <c r="M222" s="6" t="s">
        <v>471</v>
      </c>
      <c r="N222" s="6" t="s">
        <v>471</v>
      </c>
      <c r="O222" s="6" t="s">
        <v>599</v>
      </c>
      <c r="P222" s="27" t="s">
        <v>6</v>
      </c>
      <c r="Q222" s="11">
        <v>1</v>
      </c>
      <c r="R222" s="4" t="s">
        <v>600</v>
      </c>
      <c r="S222" s="9">
        <f t="shared" ref="S222:S228" si="81">T222+V222</f>
        <v>0</v>
      </c>
      <c r="T222" s="9">
        <v>0</v>
      </c>
      <c r="U222" s="6" t="s">
        <v>141</v>
      </c>
      <c r="V222" s="11">
        <v>0</v>
      </c>
      <c r="W222" s="6" t="s">
        <v>141</v>
      </c>
      <c r="X222" s="82">
        <v>250</v>
      </c>
      <c r="Y222" s="6" t="s">
        <v>599</v>
      </c>
    </row>
    <row r="223" spans="1:25" ht="173.25" x14ac:dyDescent="0.25">
      <c r="A223" s="71" t="s">
        <v>977</v>
      </c>
      <c r="B223" s="28" t="s">
        <v>360</v>
      </c>
      <c r="C223" s="5" t="s">
        <v>1363</v>
      </c>
      <c r="D223" s="4" t="s">
        <v>833</v>
      </c>
      <c r="E223" s="5" t="s">
        <v>601</v>
      </c>
      <c r="F223" s="4" t="s">
        <v>602</v>
      </c>
      <c r="G223" s="6" t="s">
        <v>118</v>
      </c>
      <c r="H223" s="32"/>
      <c r="I223" s="32"/>
      <c r="J223" s="32"/>
      <c r="K223" s="9">
        <v>1</v>
      </c>
      <c r="L223" s="10">
        <v>0.75</v>
      </c>
      <c r="M223" s="6" t="s">
        <v>1478</v>
      </c>
      <c r="N223" s="6" t="s">
        <v>1518</v>
      </c>
      <c r="O223" s="6" t="s">
        <v>603</v>
      </c>
      <c r="P223" s="27" t="s">
        <v>6</v>
      </c>
      <c r="Q223" s="11">
        <v>1</v>
      </c>
      <c r="R223" s="4" t="s">
        <v>604</v>
      </c>
      <c r="S223" s="9">
        <f t="shared" si="81"/>
        <v>0</v>
      </c>
      <c r="T223" s="9">
        <v>0</v>
      </c>
      <c r="U223" s="6" t="s">
        <v>141</v>
      </c>
      <c r="V223" s="11">
        <v>0</v>
      </c>
      <c r="W223" s="6" t="s">
        <v>141</v>
      </c>
      <c r="X223" s="90">
        <v>107.9</v>
      </c>
      <c r="Y223" s="6" t="s">
        <v>603</v>
      </c>
    </row>
    <row r="224" spans="1:25" ht="78.75" x14ac:dyDescent="0.25">
      <c r="A224" s="71" t="s">
        <v>978</v>
      </c>
      <c r="B224" s="28" t="s">
        <v>360</v>
      </c>
      <c r="C224" s="5" t="s">
        <v>1363</v>
      </c>
      <c r="D224" s="4" t="s">
        <v>834</v>
      </c>
      <c r="E224" s="5" t="s">
        <v>605</v>
      </c>
      <c r="F224" s="4" t="s">
        <v>606</v>
      </c>
      <c r="G224" s="6" t="s">
        <v>118</v>
      </c>
      <c r="H224" s="32"/>
      <c r="I224" s="32"/>
      <c r="J224" s="32"/>
      <c r="K224" s="9">
        <v>1</v>
      </c>
      <c r="L224" s="10">
        <v>0.75</v>
      </c>
      <c r="M224" s="6" t="s">
        <v>1515</v>
      </c>
      <c r="N224" s="6" t="s">
        <v>1516</v>
      </c>
      <c r="O224" s="6" t="s">
        <v>607</v>
      </c>
      <c r="P224" s="27" t="s">
        <v>6</v>
      </c>
      <c r="Q224" s="11">
        <v>1</v>
      </c>
      <c r="R224" s="4" t="s">
        <v>1437</v>
      </c>
      <c r="S224" s="9">
        <f t="shared" si="81"/>
        <v>0</v>
      </c>
      <c r="T224" s="9">
        <v>0</v>
      </c>
      <c r="U224" s="6" t="s">
        <v>141</v>
      </c>
      <c r="V224" s="11">
        <v>0</v>
      </c>
      <c r="W224" s="6" t="s">
        <v>141</v>
      </c>
      <c r="X224" s="90">
        <v>1266.5</v>
      </c>
      <c r="Y224" s="6" t="s">
        <v>607</v>
      </c>
    </row>
    <row r="225" spans="1:25" ht="63.75" customHeight="1" x14ac:dyDescent="0.25">
      <c r="A225" s="71" t="s">
        <v>979</v>
      </c>
      <c r="B225" s="28" t="s">
        <v>360</v>
      </c>
      <c r="C225" s="5" t="s">
        <v>1363</v>
      </c>
      <c r="D225" s="4" t="s">
        <v>835</v>
      </c>
      <c r="E225" s="5" t="s">
        <v>608</v>
      </c>
      <c r="F225" s="4" t="s">
        <v>609</v>
      </c>
      <c r="G225" s="6" t="s">
        <v>118</v>
      </c>
      <c r="H225" s="32"/>
      <c r="I225" s="32"/>
      <c r="J225" s="32"/>
      <c r="K225" s="9">
        <v>1</v>
      </c>
      <c r="L225" s="10">
        <v>0.75</v>
      </c>
      <c r="M225" s="6" t="s">
        <v>1514</v>
      </c>
      <c r="N225" s="6" t="s">
        <v>1517</v>
      </c>
      <c r="O225" s="6" t="s">
        <v>622</v>
      </c>
      <c r="P225" s="27" t="s">
        <v>6</v>
      </c>
      <c r="Q225" s="11">
        <v>1</v>
      </c>
      <c r="R225" s="4" t="s">
        <v>610</v>
      </c>
      <c r="S225" s="9">
        <f t="shared" si="81"/>
        <v>0</v>
      </c>
      <c r="T225" s="9">
        <v>0</v>
      </c>
      <c r="U225" s="6" t="s">
        <v>141</v>
      </c>
      <c r="V225" s="11">
        <v>0</v>
      </c>
      <c r="W225" s="6" t="s">
        <v>141</v>
      </c>
      <c r="X225" s="90">
        <v>202</v>
      </c>
      <c r="Y225" s="6" t="s">
        <v>611</v>
      </c>
    </row>
    <row r="226" spans="1:25" ht="141.75" x14ac:dyDescent="0.25">
      <c r="A226" s="71" t="s">
        <v>980</v>
      </c>
      <c r="B226" s="28" t="s">
        <v>360</v>
      </c>
      <c r="C226" s="5" t="s">
        <v>1363</v>
      </c>
      <c r="D226" s="4" t="s">
        <v>836</v>
      </c>
      <c r="E226" s="5" t="s">
        <v>612</v>
      </c>
      <c r="F226" s="4" t="s">
        <v>613</v>
      </c>
      <c r="G226" s="6" t="s">
        <v>118</v>
      </c>
      <c r="H226" s="32"/>
      <c r="I226" s="32"/>
      <c r="J226" s="32"/>
      <c r="K226" s="9">
        <v>1</v>
      </c>
      <c r="L226" s="10">
        <v>0.75</v>
      </c>
      <c r="M226" s="6" t="s">
        <v>1479</v>
      </c>
      <c r="N226" s="6" t="s">
        <v>1513</v>
      </c>
      <c r="O226" s="6" t="s">
        <v>614</v>
      </c>
      <c r="P226" s="27" t="s">
        <v>6</v>
      </c>
      <c r="Q226" s="11">
        <v>10</v>
      </c>
      <c r="R226" s="4" t="s">
        <v>615</v>
      </c>
      <c r="S226" s="9">
        <f t="shared" si="81"/>
        <v>0</v>
      </c>
      <c r="T226" s="9">
        <v>0</v>
      </c>
      <c r="U226" s="6" t="s">
        <v>141</v>
      </c>
      <c r="V226" s="11">
        <v>0</v>
      </c>
      <c r="W226" s="6" t="s">
        <v>141</v>
      </c>
      <c r="X226" s="82">
        <v>10</v>
      </c>
      <c r="Y226" s="6" t="s">
        <v>614</v>
      </c>
    </row>
    <row r="227" spans="1:25" ht="87.75" customHeight="1" x14ac:dyDescent="0.25">
      <c r="A227" s="71" t="s">
        <v>981</v>
      </c>
      <c r="B227" s="28" t="s">
        <v>360</v>
      </c>
      <c r="C227" s="5" t="s">
        <v>1363</v>
      </c>
      <c r="D227" s="4" t="s">
        <v>837</v>
      </c>
      <c r="E227" s="5" t="s">
        <v>616</v>
      </c>
      <c r="F227" s="4" t="s">
        <v>617</v>
      </c>
      <c r="G227" s="6" t="s">
        <v>118</v>
      </c>
      <c r="H227" s="32"/>
      <c r="I227" s="32"/>
      <c r="J227" s="32"/>
      <c r="K227" s="9">
        <v>1</v>
      </c>
      <c r="L227" s="10">
        <v>0.75</v>
      </c>
      <c r="M227" s="6" t="s">
        <v>618</v>
      </c>
      <c r="N227" s="6" t="s">
        <v>1463</v>
      </c>
      <c r="O227" s="6" t="s">
        <v>618</v>
      </c>
      <c r="P227" s="27" t="s">
        <v>6</v>
      </c>
      <c r="Q227" s="11">
        <v>1</v>
      </c>
      <c r="R227" s="4" t="s">
        <v>619</v>
      </c>
      <c r="S227" s="9">
        <f t="shared" si="81"/>
        <v>0</v>
      </c>
      <c r="T227" s="9">
        <v>0</v>
      </c>
      <c r="U227" s="6" t="s">
        <v>141</v>
      </c>
      <c r="V227" s="11">
        <v>0</v>
      </c>
      <c r="W227" s="6" t="s">
        <v>141</v>
      </c>
      <c r="X227" s="82">
        <v>510</v>
      </c>
      <c r="Y227" s="6" t="s">
        <v>618</v>
      </c>
    </row>
    <row r="228" spans="1:25" ht="105.75" customHeight="1" x14ac:dyDescent="0.25">
      <c r="A228" s="71" t="s">
        <v>982</v>
      </c>
      <c r="B228" s="28" t="s">
        <v>365</v>
      </c>
      <c r="C228" s="5" t="s">
        <v>1363</v>
      </c>
      <c r="D228" s="4" t="s">
        <v>2183</v>
      </c>
      <c r="E228" s="5" t="s">
        <v>620</v>
      </c>
      <c r="F228" s="4" t="s">
        <v>556</v>
      </c>
      <c r="G228" s="6" t="s">
        <v>118</v>
      </c>
      <c r="H228" s="32"/>
      <c r="I228" s="32"/>
      <c r="J228" s="32"/>
      <c r="K228" s="9">
        <v>1</v>
      </c>
      <c r="L228" s="10">
        <v>0.75</v>
      </c>
      <c r="M228" s="6" t="s">
        <v>1626</v>
      </c>
      <c r="N228" s="6" t="s">
        <v>1454</v>
      </c>
      <c r="O228" s="6" t="s">
        <v>621</v>
      </c>
      <c r="P228" s="27" t="s">
        <v>6</v>
      </c>
      <c r="Q228" s="11">
        <v>1</v>
      </c>
      <c r="R228" s="4" t="s">
        <v>1632</v>
      </c>
      <c r="S228" s="9">
        <f t="shared" si="81"/>
        <v>0</v>
      </c>
      <c r="T228" s="9">
        <v>0</v>
      </c>
      <c r="U228" s="6" t="s">
        <v>141</v>
      </c>
      <c r="V228" s="11">
        <v>0</v>
      </c>
      <c r="W228" s="6" t="s">
        <v>141</v>
      </c>
      <c r="X228" s="82">
        <v>158</v>
      </c>
      <c r="Y228" s="6" t="s">
        <v>621</v>
      </c>
    </row>
    <row r="229" spans="1:25" ht="173.25" x14ac:dyDescent="0.25">
      <c r="A229" s="71" t="s">
        <v>983</v>
      </c>
      <c r="B229" s="28" t="s">
        <v>360</v>
      </c>
      <c r="C229" s="5" t="s">
        <v>1363</v>
      </c>
      <c r="D229" s="4" t="s">
        <v>838</v>
      </c>
      <c r="E229" s="5" t="s">
        <v>623</v>
      </c>
      <c r="F229" s="4" t="s">
        <v>221</v>
      </c>
      <c r="G229" s="6" t="s">
        <v>118</v>
      </c>
      <c r="H229" s="32"/>
      <c r="I229" s="32"/>
      <c r="J229" s="32"/>
      <c r="K229" s="9">
        <v>1</v>
      </c>
      <c r="L229" s="10">
        <v>0.75</v>
      </c>
      <c r="M229" s="6" t="s">
        <v>624</v>
      </c>
      <c r="N229" s="6" t="s">
        <v>1464</v>
      </c>
      <c r="O229" s="6" t="s">
        <v>624</v>
      </c>
      <c r="P229" s="27" t="s">
        <v>6</v>
      </c>
      <c r="Q229" s="11">
        <v>1</v>
      </c>
      <c r="R229" s="4" t="s">
        <v>625</v>
      </c>
      <c r="S229" s="9">
        <f t="shared" ref="S229" si="82">T229+V229</f>
        <v>0</v>
      </c>
      <c r="T229" s="9">
        <v>0</v>
      </c>
      <c r="U229" s="6" t="s">
        <v>141</v>
      </c>
      <c r="V229" s="11">
        <v>0</v>
      </c>
      <c r="W229" s="6" t="s">
        <v>141</v>
      </c>
      <c r="X229" s="82">
        <v>160</v>
      </c>
      <c r="Y229" s="6" t="s">
        <v>624</v>
      </c>
    </row>
    <row r="230" spans="1:25" ht="157.5" x14ac:dyDescent="0.25">
      <c r="A230" s="71" t="s">
        <v>984</v>
      </c>
      <c r="B230" s="28" t="s">
        <v>357</v>
      </c>
      <c r="C230" s="5" t="s">
        <v>1363</v>
      </c>
      <c r="D230" s="4" t="s">
        <v>878</v>
      </c>
      <c r="E230" s="5" t="s">
        <v>626</v>
      </c>
      <c r="F230" s="4" t="s">
        <v>627</v>
      </c>
      <c r="G230" s="6" t="s">
        <v>118</v>
      </c>
      <c r="H230" s="32"/>
      <c r="I230" s="32"/>
      <c r="J230" s="32"/>
      <c r="K230" s="9">
        <v>1</v>
      </c>
      <c r="L230" s="10">
        <v>0.75</v>
      </c>
      <c r="M230" s="6" t="s">
        <v>628</v>
      </c>
      <c r="N230" s="6" t="s">
        <v>1465</v>
      </c>
      <c r="O230" s="6" t="s">
        <v>628</v>
      </c>
      <c r="P230" s="27" t="s">
        <v>6</v>
      </c>
      <c r="Q230" s="11">
        <v>1</v>
      </c>
      <c r="R230" s="4" t="s">
        <v>629</v>
      </c>
      <c r="S230" s="9">
        <f t="shared" ref="S230" si="83">T230+V230</f>
        <v>0</v>
      </c>
      <c r="T230" s="9">
        <v>0</v>
      </c>
      <c r="U230" s="6" t="s">
        <v>141</v>
      </c>
      <c r="V230" s="11">
        <v>0</v>
      </c>
      <c r="W230" s="6" t="s">
        <v>141</v>
      </c>
      <c r="X230" s="82">
        <v>273</v>
      </c>
      <c r="Y230" s="6" t="s">
        <v>628</v>
      </c>
    </row>
    <row r="231" spans="1:25" ht="126" x14ac:dyDescent="0.25">
      <c r="A231" s="71" t="s">
        <v>985</v>
      </c>
      <c r="B231" s="28" t="s">
        <v>360</v>
      </c>
      <c r="C231" s="5" t="s">
        <v>1363</v>
      </c>
      <c r="D231" s="4" t="s">
        <v>839</v>
      </c>
      <c r="E231" s="5" t="s">
        <v>630</v>
      </c>
      <c r="F231" s="4" t="s">
        <v>523</v>
      </c>
      <c r="G231" s="6" t="s">
        <v>118</v>
      </c>
      <c r="H231" s="32"/>
      <c r="I231" s="32"/>
      <c r="J231" s="32"/>
      <c r="K231" s="9">
        <v>1</v>
      </c>
      <c r="L231" s="10">
        <v>0.75</v>
      </c>
      <c r="M231" s="6" t="s">
        <v>631</v>
      </c>
      <c r="N231" s="6" t="s">
        <v>631</v>
      </c>
      <c r="O231" s="6" t="s">
        <v>631</v>
      </c>
      <c r="P231" s="27" t="s">
        <v>6</v>
      </c>
      <c r="Q231" s="11">
        <v>1</v>
      </c>
      <c r="R231" s="4" t="s">
        <v>632</v>
      </c>
      <c r="S231" s="9">
        <f t="shared" ref="S231" si="84">T231+V231</f>
        <v>0</v>
      </c>
      <c r="T231" s="9">
        <v>0</v>
      </c>
      <c r="U231" s="6" t="s">
        <v>141</v>
      </c>
      <c r="V231" s="11">
        <v>0</v>
      </c>
      <c r="W231" s="6" t="s">
        <v>141</v>
      </c>
      <c r="X231" s="82">
        <v>150</v>
      </c>
      <c r="Y231" s="6" t="s">
        <v>631</v>
      </c>
    </row>
    <row r="232" spans="1:25" ht="113.25" customHeight="1" x14ac:dyDescent="0.25">
      <c r="A232" s="71" t="s">
        <v>986</v>
      </c>
      <c r="B232" s="28" t="s">
        <v>360</v>
      </c>
      <c r="C232" s="5" t="s">
        <v>1363</v>
      </c>
      <c r="D232" s="4" t="s">
        <v>842</v>
      </c>
      <c r="E232" s="5" t="s">
        <v>633</v>
      </c>
      <c r="F232" s="4" t="s">
        <v>634</v>
      </c>
      <c r="G232" s="6" t="s">
        <v>118</v>
      </c>
      <c r="H232" s="32"/>
      <c r="I232" s="32"/>
      <c r="J232" s="32"/>
      <c r="K232" s="9">
        <v>1</v>
      </c>
      <c r="L232" s="10">
        <v>0.75</v>
      </c>
      <c r="M232" s="6" t="s">
        <v>635</v>
      </c>
      <c r="N232" s="6" t="s">
        <v>1466</v>
      </c>
      <c r="O232" s="6" t="s">
        <v>635</v>
      </c>
      <c r="P232" s="27" t="s">
        <v>6</v>
      </c>
      <c r="Q232" s="11">
        <v>1</v>
      </c>
      <c r="R232" s="4" t="s">
        <v>636</v>
      </c>
      <c r="S232" s="9">
        <f t="shared" ref="S232" si="85">T232+V232</f>
        <v>0</v>
      </c>
      <c r="T232" s="9">
        <v>0</v>
      </c>
      <c r="U232" s="6" t="s">
        <v>141</v>
      </c>
      <c r="V232" s="11">
        <v>0</v>
      </c>
      <c r="W232" s="6" t="s">
        <v>141</v>
      </c>
      <c r="X232" s="82">
        <v>3</v>
      </c>
      <c r="Y232" s="6" t="s">
        <v>635</v>
      </c>
    </row>
    <row r="233" spans="1:25" ht="141.75" x14ac:dyDescent="0.25">
      <c r="A233" s="71" t="s">
        <v>987</v>
      </c>
      <c r="B233" s="28" t="s">
        <v>360</v>
      </c>
      <c r="C233" s="5" t="s">
        <v>1363</v>
      </c>
      <c r="D233" s="4" t="s">
        <v>840</v>
      </c>
      <c r="E233" s="5" t="s">
        <v>637</v>
      </c>
      <c r="F233" s="4" t="s">
        <v>523</v>
      </c>
      <c r="G233" s="6" t="s">
        <v>118</v>
      </c>
      <c r="H233" s="32"/>
      <c r="I233" s="32"/>
      <c r="J233" s="32"/>
      <c r="K233" s="9">
        <v>2</v>
      </c>
      <c r="L233" s="10">
        <v>0.75</v>
      </c>
      <c r="M233" s="6" t="s">
        <v>639</v>
      </c>
      <c r="N233" s="6" t="s">
        <v>1467</v>
      </c>
      <c r="O233" s="6" t="s">
        <v>639</v>
      </c>
      <c r="P233" s="27" t="s">
        <v>6</v>
      </c>
      <c r="Q233" s="11">
        <v>1</v>
      </c>
      <c r="R233" s="4" t="s">
        <v>638</v>
      </c>
      <c r="S233" s="9">
        <f t="shared" ref="S233" si="86">T233+V233</f>
        <v>0</v>
      </c>
      <c r="T233" s="9">
        <v>0</v>
      </c>
      <c r="U233" s="6" t="s">
        <v>141</v>
      </c>
      <c r="V233" s="11">
        <v>0</v>
      </c>
      <c r="W233" s="6" t="s">
        <v>141</v>
      </c>
      <c r="X233" s="90">
        <v>1935</v>
      </c>
      <c r="Y233" s="6" t="s">
        <v>639</v>
      </c>
    </row>
    <row r="234" spans="1:25" ht="173.25" x14ac:dyDescent="0.25">
      <c r="A234" s="71" t="s">
        <v>988</v>
      </c>
      <c r="B234" s="28" t="s">
        <v>360</v>
      </c>
      <c r="C234" s="5" t="s">
        <v>1363</v>
      </c>
      <c r="D234" s="4" t="s">
        <v>841</v>
      </c>
      <c r="E234" s="5" t="s">
        <v>640</v>
      </c>
      <c r="F234" s="4" t="s">
        <v>641</v>
      </c>
      <c r="G234" s="6" t="s">
        <v>118</v>
      </c>
      <c r="H234" s="32"/>
      <c r="I234" s="32"/>
      <c r="J234" s="32"/>
      <c r="K234" s="9">
        <v>2</v>
      </c>
      <c r="L234" s="10">
        <v>0.75</v>
      </c>
      <c r="M234" s="6" t="s">
        <v>642</v>
      </c>
      <c r="N234" s="6" t="s">
        <v>1468</v>
      </c>
      <c r="O234" s="6" t="s">
        <v>642</v>
      </c>
      <c r="P234" s="27" t="s">
        <v>6</v>
      </c>
      <c r="Q234" s="11">
        <v>2</v>
      </c>
      <c r="R234" s="4" t="s">
        <v>643</v>
      </c>
      <c r="S234" s="9">
        <f t="shared" ref="S234" si="87">T234+V234</f>
        <v>0</v>
      </c>
      <c r="T234" s="9">
        <v>0</v>
      </c>
      <c r="U234" s="6" t="s">
        <v>141</v>
      </c>
      <c r="V234" s="11">
        <v>0</v>
      </c>
      <c r="W234" s="6" t="s">
        <v>141</v>
      </c>
      <c r="X234" s="90">
        <v>497</v>
      </c>
      <c r="Y234" s="6" t="s">
        <v>642</v>
      </c>
    </row>
    <row r="235" spans="1:25" ht="78.75" x14ac:dyDescent="0.25">
      <c r="A235" s="71" t="s">
        <v>989</v>
      </c>
      <c r="B235" s="28" t="s">
        <v>360</v>
      </c>
      <c r="C235" s="5" t="s">
        <v>1363</v>
      </c>
      <c r="D235" s="4" t="s">
        <v>843</v>
      </c>
      <c r="E235" s="5" t="s">
        <v>645</v>
      </c>
      <c r="F235" s="4" t="s">
        <v>523</v>
      </c>
      <c r="G235" s="6" t="s">
        <v>118</v>
      </c>
      <c r="H235" s="32"/>
      <c r="I235" s="32"/>
      <c r="J235" s="32"/>
      <c r="K235" s="9">
        <v>1</v>
      </c>
      <c r="L235" s="10">
        <v>0.75</v>
      </c>
      <c r="M235" s="6" t="s">
        <v>1511</v>
      </c>
      <c r="N235" s="6" t="s">
        <v>1512</v>
      </c>
      <c r="O235" s="6" t="s">
        <v>647</v>
      </c>
      <c r="P235" s="27" t="s">
        <v>6</v>
      </c>
      <c r="Q235" s="11">
        <v>1</v>
      </c>
      <c r="R235" s="4" t="s">
        <v>646</v>
      </c>
      <c r="S235" s="9">
        <f t="shared" ref="S235" si="88">T235+V235</f>
        <v>0</v>
      </c>
      <c r="T235" s="9">
        <v>0</v>
      </c>
      <c r="U235" s="6" t="s">
        <v>141</v>
      </c>
      <c r="V235" s="11">
        <v>0</v>
      </c>
      <c r="W235" s="6" t="s">
        <v>141</v>
      </c>
      <c r="X235" s="90">
        <v>24</v>
      </c>
      <c r="Y235" s="6" t="s">
        <v>647</v>
      </c>
    </row>
    <row r="236" spans="1:25" ht="94.5" x14ac:dyDescent="0.25">
      <c r="A236" s="71" t="s">
        <v>990</v>
      </c>
      <c r="B236" s="28" t="s">
        <v>360</v>
      </c>
      <c r="C236" s="5" t="s">
        <v>1363</v>
      </c>
      <c r="D236" s="4" t="s">
        <v>844</v>
      </c>
      <c r="E236" s="5" t="s">
        <v>679</v>
      </c>
      <c r="F236" s="4" t="s">
        <v>681</v>
      </c>
      <c r="G236" s="6" t="s">
        <v>118</v>
      </c>
      <c r="H236" s="32"/>
      <c r="I236" s="32"/>
      <c r="J236" s="32"/>
      <c r="K236" s="9">
        <v>1</v>
      </c>
      <c r="L236" s="10">
        <v>1.1000000000000001</v>
      </c>
      <c r="M236" s="6" t="s">
        <v>1508</v>
      </c>
      <c r="N236" s="6" t="s">
        <v>1509</v>
      </c>
      <c r="O236" s="6" t="s">
        <v>680</v>
      </c>
      <c r="P236" s="27" t="s">
        <v>6</v>
      </c>
      <c r="Q236" s="12" t="s">
        <v>142</v>
      </c>
      <c r="R236" s="6" t="s">
        <v>678</v>
      </c>
      <c r="S236" s="9">
        <f t="shared" ref="S236" si="89">T236+V236</f>
        <v>0</v>
      </c>
      <c r="T236" s="9">
        <v>0</v>
      </c>
      <c r="U236" s="6" t="s">
        <v>141</v>
      </c>
      <c r="V236" s="11">
        <v>0</v>
      </c>
      <c r="W236" s="6" t="s">
        <v>141</v>
      </c>
      <c r="X236" s="90">
        <v>788.6</v>
      </c>
      <c r="Y236" s="5" t="s">
        <v>680</v>
      </c>
    </row>
    <row r="237" spans="1:25" ht="126" x14ac:dyDescent="0.25">
      <c r="A237" s="71" t="s">
        <v>991</v>
      </c>
      <c r="B237" s="28" t="s">
        <v>360</v>
      </c>
      <c r="C237" s="5" t="s">
        <v>1363</v>
      </c>
      <c r="D237" s="4" t="s">
        <v>845</v>
      </c>
      <c r="E237" s="5" t="s">
        <v>682</v>
      </c>
      <c r="F237" s="4" t="s">
        <v>683</v>
      </c>
      <c r="G237" s="6" t="s">
        <v>118</v>
      </c>
      <c r="H237" s="32"/>
      <c r="I237" s="32"/>
      <c r="J237" s="32"/>
      <c r="K237" s="9">
        <v>3</v>
      </c>
      <c r="L237" s="10">
        <v>3</v>
      </c>
      <c r="M237" s="6" t="s">
        <v>684</v>
      </c>
      <c r="N237" s="6" t="s">
        <v>684</v>
      </c>
      <c r="O237" s="6" t="s">
        <v>684</v>
      </c>
      <c r="P237" s="27" t="s">
        <v>6</v>
      </c>
      <c r="Q237" s="12" t="s">
        <v>142</v>
      </c>
      <c r="R237" s="6" t="s">
        <v>685</v>
      </c>
      <c r="S237" s="9">
        <f t="shared" ref="S237" si="90">T237+V237</f>
        <v>0</v>
      </c>
      <c r="T237" s="9">
        <v>0</v>
      </c>
      <c r="U237" s="6" t="s">
        <v>141</v>
      </c>
      <c r="V237" s="11">
        <v>0</v>
      </c>
      <c r="W237" s="6" t="s">
        <v>141</v>
      </c>
      <c r="X237" s="90">
        <v>400</v>
      </c>
      <c r="Y237" s="5" t="s">
        <v>684</v>
      </c>
    </row>
    <row r="238" spans="1:25" ht="157.5" x14ac:dyDescent="0.25">
      <c r="A238" s="71" t="s">
        <v>992</v>
      </c>
      <c r="B238" s="28" t="s">
        <v>360</v>
      </c>
      <c r="C238" s="5" t="s">
        <v>1363</v>
      </c>
      <c r="D238" s="4" t="s">
        <v>846</v>
      </c>
      <c r="E238" s="5" t="s">
        <v>687</v>
      </c>
      <c r="F238" s="4" t="s">
        <v>690</v>
      </c>
      <c r="G238" s="6" t="s">
        <v>118</v>
      </c>
      <c r="H238" s="32"/>
      <c r="I238" s="32"/>
      <c r="J238" s="32"/>
      <c r="K238" s="9">
        <v>2</v>
      </c>
      <c r="L238" s="10">
        <v>2.2000000000000002</v>
      </c>
      <c r="M238" s="6" t="s">
        <v>688</v>
      </c>
      <c r="N238" s="6" t="s">
        <v>688</v>
      </c>
      <c r="O238" s="6" t="s">
        <v>688</v>
      </c>
      <c r="P238" s="27" t="s">
        <v>6</v>
      </c>
      <c r="Q238" s="11">
        <v>1</v>
      </c>
      <c r="R238" s="6" t="s">
        <v>689</v>
      </c>
      <c r="S238" s="9">
        <f t="shared" ref="S238" si="91">T238+V238</f>
        <v>0</v>
      </c>
      <c r="T238" s="9">
        <v>0</v>
      </c>
      <c r="U238" s="6" t="s">
        <v>141</v>
      </c>
      <c r="V238" s="11">
        <v>0</v>
      </c>
      <c r="W238" s="6" t="s">
        <v>141</v>
      </c>
      <c r="X238" s="82">
        <v>240</v>
      </c>
      <c r="Y238" s="5" t="s">
        <v>688</v>
      </c>
    </row>
    <row r="239" spans="1:25" ht="141.75" x14ac:dyDescent="0.25">
      <c r="A239" s="71" t="s">
        <v>993</v>
      </c>
      <c r="B239" s="28" t="s">
        <v>360</v>
      </c>
      <c r="C239" s="5" t="s">
        <v>1363</v>
      </c>
      <c r="D239" s="4" t="s">
        <v>847</v>
      </c>
      <c r="E239" s="5" t="s">
        <v>691</v>
      </c>
      <c r="F239" s="4" t="s">
        <v>692</v>
      </c>
      <c r="G239" s="6" t="s">
        <v>118</v>
      </c>
      <c r="H239" s="32"/>
      <c r="I239" s="32"/>
      <c r="J239" s="32"/>
      <c r="K239" s="9">
        <v>1</v>
      </c>
      <c r="L239" s="10">
        <v>0.75</v>
      </c>
      <c r="M239" s="6" t="s">
        <v>693</v>
      </c>
      <c r="N239" s="6" t="s">
        <v>1469</v>
      </c>
      <c r="O239" s="6" t="s">
        <v>693</v>
      </c>
      <c r="P239" s="27" t="s">
        <v>6</v>
      </c>
      <c r="Q239" s="11">
        <v>1</v>
      </c>
      <c r="R239" s="6" t="s">
        <v>694</v>
      </c>
      <c r="S239" s="9">
        <f t="shared" ref="S239:S244" si="92">T239+V239</f>
        <v>0</v>
      </c>
      <c r="T239" s="9">
        <v>0</v>
      </c>
      <c r="U239" s="6" t="s">
        <v>141</v>
      </c>
      <c r="V239" s="11">
        <v>0</v>
      </c>
      <c r="W239" s="6" t="s">
        <v>141</v>
      </c>
      <c r="X239" s="90">
        <v>250</v>
      </c>
      <c r="Y239" s="5" t="s">
        <v>693</v>
      </c>
    </row>
    <row r="240" spans="1:25" ht="189" x14ac:dyDescent="0.25">
      <c r="A240" s="71" t="s">
        <v>994</v>
      </c>
      <c r="B240" s="28" t="s">
        <v>365</v>
      </c>
      <c r="C240" s="5" t="s">
        <v>1363</v>
      </c>
      <c r="D240" s="4" t="s">
        <v>2184</v>
      </c>
      <c r="E240" s="5" t="s">
        <v>695</v>
      </c>
      <c r="F240" s="4" t="s">
        <v>696</v>
      </c>
      <c r="G240" s="6"/>
      <c r="H240" s="32"/>
      <c r="I240" s="32"/>
      <c r="J240" s="32"/>
      <c r="K240" s="9">
        <v>1</v>
      </c>
      <c r="L240" s="10">
        <v>0.75</v>
      </c>
      <c r="M240" s="6" t="s">
        <v>697</v>
      </c>
      <c r="N240" s="6" t="s">
        <v>697</v>
      </c>
      <c r="O240" s="6" t="s">
        <v>697</v>
      </c>
      <c r="P240" s="27" t="s">
        <v>6</v>
      </c>
      <c r="Q240" s="11">
        <v>1</v>
      </c>
      <c r="R240" s="6" t="s">
        <v>1633</v>
      </c>
      <c r="S240" s="9">
        <f t="shared" si="92"/>
        <v>0</v>
      </c>
      <c r="T240" s="9">
        <v>0</v>
      </c>
      <c r="U240" s="6" t="s">
        <v>141</v>
      </c>
      <c r="V240" s="11">
        <v>0</v>
      </c>
      <c r="W240" s="6" t="s">
        <v>141</v>
      </c>
      <c r="X240" s="90">
        <v>520</v>
      </c>
      <c r="Y240" s="5" t="s">
        <v>697</v>
      </c>
    </row>
    <row r="241" spans="1:25" ht="141.75" x14ac:dyDescent="0.25">
      <c r="A241" s="71" t="s">
        <v>995</v>
      </c>
      <c r="B241" s="28" t="s">
        <v>365</v>
      </c>
      <c r="C241" s="5" t="s">
        <v>1363</v>
      </c>
      <c r="D241" s="4" t="s">
        <v>700</v>
      </c>
      <c r="E241" s="5" t="s">
        <v>698</v>
      </c>
      <c r="F241" s="4" t="s">
        <v>699</v>
      </c>
      <c r="G241" s="6"/>
      <c r="H241" s="32"/>
      <c r="I241" s="32"/>
      <c r="J241" s="32"/>
      <c r="K241" s="9">
        <v>1</v>
      </c>
      <c r="L241" s="10">
        <v>8</v>
      </c>
      <c r="M241" s="6" t="s">
        <v>1481</v>
      </c>
      <c r="N241" s="6" t="s">
        <v>1438</v>
      </c>
      <c r="O241" s="6" t="s">
        <v>701</v>
      </c>
      <c r="P241" s="27" t="s">
        <v>6</v>
      </c>
      <c r="Q241" s="11">
        <v>250</v>
      </c>
      <c r="R241" s="6" t="s">
        <v>1489</v>
      </c>
      <c r="S241" s="9">
        <f t="shared" si="92"/>
        <v>0</v>
      </c>
      <c r="T241" s="9">
        <v>0</v>
      </c>
      <c r="U241" s="6" t="s">
        <v>141</v>
      </c>
      <c r="V241" s="11">
        <v>0</v>
      </c>
      <c r="W241" s="6" t="s">
        <v>141</v>
      </c>
      <c r="X241" s="82">
        <v>250</v>
      </c>
      <c r="Y241" s="5" t="s">
        <v>701</v>
      </c>
    </row>
    <row r="242" spans="1:25" ht="141.75" x14ac:dyDescent="0.25">
      <c r="A242" s="71" t="s">
        <v>996</v>
      </c>
      <c r="B242" s="28" t="s">
        <v>365</v>
      </c>
      <c r="C242" s="5" t="s">
        <v>1363</v>
      </c>
      <c r="D242" s="4" t="s">
        <v>2185</v>
      </c>
      <c r="E242" s="5" t="s">
        <v>703</v>
      </c>
      <c r="F242" s="4" t="s">
        <v>402</v>
      </c>
      <c r="G242" s="6"/>
      <c r="H242" s="32"/>
      <c r="I242" s="32"/>
      <c r="J242" s="32"/>
      <c r="K242" s="9">
        <v>1</v>
      </c>
      <c r="L242" s="10">
        <v>1</v>
      </c>
      <c r="M242" s="6" t="s">
        <v>1627</v>
      </c>
      <c r="N242" s="6" t="s">
        <v>1470</v>
      </c>
      <c r="O242" s="6" t="s">
        <v>704</v>
      </c>
      <c r="P242" s="27" t="s">
        <v>6</v>
      </c>
      <c r="Q242" s="11">
        <v>1</v>
      </c>
      <c r="R242" s="6" t="s">
        <v>1634</v>
      </c>
      <c r="S242" s="9">
        <f t="shared" si="92"/>
        <v>0</v>
      </c>
      <c r="T242" s="9">
        <v>0</v>
      </c>
      <c r="U242" s="6" t="s">
        <v>141</v>
      </c>
      <c r="V242" s="11">
        <v>0</v>
      </c>
      <c r="W242" s="6" t="s">
        <v>141</v>
      </c>
      <c r="X242" s="90">
        <v>3156.4</v>
      </c>
      <c r="Y242" s="5" t="s">
        <v>704</v>
      </c>
    </row>
    <row r="243" spans="1:25" ht="141.75" x14ac:dyDescent="0.25">
      <c r="A243" s="71" t="s">
        <v>997</v>
      </c>
      <c r="B243" s="28" t="s">
        <v>360</v>
      </c>
      <c r="C243" s="5" t="s">
        <v>1363</v>
      </c>
      <c r="D243" s="4" t="s">
        <v>848</v>
      </c>
      <c r="E243" s="5" t="s">
        <v>706</v>
      </c>
      <c r="F243" s="4" t="s">
        <v>705</v>
      </c>
      <c r="G243" s="6"/>
      <c r="H243" s="32"/>
      <c r="I243" s="32"/>
      <c r="J243" s="32"/>
      <c r="K243" s="9">
        <v>2</v>
      </c>
      <c r="L243" s="10">
        <v>1.5</v>
      </c>
      <c r="M243" s="6" t="s">
        <v>707</v>
      </c>
      <c r="N243" s="6" t="s">
        <v>1471</v>
      </c>
      <c r="O243" s="6" t="s">
        <v>707</v>
      </c>
      <c r="P243" s="27" t="s">
        <v>6</v>
      </c>
      <c r="Q243" s="11">
        <v>1</v>
      </c>
      <c r="R243" s="6" t="s">
        <v>708</v>
      </c>
      <c r="S243" s="9">
        <f t="shared" si="92"/>
        <v>0</v>
      </c>
      <c r="T243" s="9">
        <v>0</v>
      </c>
      <c r="U243" s="6" t="s">
        <v>141</v>
      </c>
      <c r="V243" s="11">
        <v>0</v>
      </c>
      <c r="W243" s="6" t="s">
        <v>141</v>
      </c>
      <c r="X243" s="90"/>
      <c r="Y243" s="5" t="s">
        <v>707</v>
      </c>
    </row>
    <row r="244" spans="1:25" ht="141.75" x14ac:dyDescent="0.25">
      <c r="A244" s="71" t="s">
        <v>998</v>
      </c>
      <c r="B244" s="28" t="s">
        <v>360</v>
      </c>
      <c r="C244" s="5" t="s">
        <v>1363</v>
      </c>
      <c r="D244" s="4" t="s">
        <v>849</v>
      </c>
      <c r="E244" s="5" t="s">
        <v>709</v>
      </c>
      <c r="F244" s="4" t="s">
        <v>710</v>
      </c>
      <c r="G244" s="6"/>
      <c r="H244" s="32"/>
      <c r="I244" s="32"/>
      <c r="J244" s="32"/>
      <c r="K244" s="9">
        <v>1</v>
      </c>
      <c r="L244" s="10">
        <v>1</v>
      </c>
      <c r="M244" s="6" t="s">
        <v>711</v>
      </c>
      <c r="N244" s="6" t="s">
        <v>1472</v>
      </c>
      <c r="O244" s="6" t="s">
        <v>711</v>
      </c>
      <c r="P244" s="27" t="s">
        <v>6</v>
      </c>
      <c r="Q244" s="11">
        <v>1</v>
      </c>
      <c r="R244" s="6" t="s">
        <v>712</v>
      </c>
      <c r="S244" s="9">
        <f t="shared" si="92"/>
        <v>0</v>
      </c>
      <c r="T244" s="9">
        <v>0</v>
      </c>
      <c r="U244" s="6" t="s">
        <v>141</v>
      </c>
      <c r="V244" s="11">
        <v>0</v>
      </c>
      <c r="W244" s="6" t="s">
        <v>141</v>
      </c>
      <c r="X244" s="90">
        <v>2078.9</v>
      </c>
      <c r="Y244" s="5" t="s">
        <v>711</v>
      </c>
    </row>
    <row r="245" spans="1:25" ht="105" customHeight="1" x14ac:dyDescent="0.25">
      <c r="A245" s="71" t="s">
        <v>999</v>
      </c>
      <c r="B245" s="28" t="s">
        <v>365</v>
      </c>
      <c r="C245" s="5" t="s">
        <v>1363</v>
      </c>
      <c r="D245" s="4" t="s">
        <v>717</v>
      </c>
      <c r="E245" s="5" t="s">
        <v>716</v>
      </c>
      <c r="F245" s="4" t="s">
        <v>718</v>
      </c>
      <c r="G245" s="6"/>
      <c r="H245" s="32"/>
      <c r="I245" s="32"/>
      <c r="J245" s="32"/>
      <c r="K245" s="9">
        <v>1</v>
      </c>
      <c r="L245" s="10">
        <v>0.75</v>
      </c>
      <c r="M245" s="6" t="s">
        <v>719</v>
      </c>
      <c r="N245" s="6" t="s">
        <v>1473</v>
      </c>
      <c r="O245" s="6" t="s">
        <v>719</v>
      </c>
      <c r="P245" s="27" t="s">
        <v>6</v>
      </c>
      <c r="Q245" s="11">
        <v>1</v>
      </c>
      <c r="R245" s="6" t="s">
        <v>720</v>
      </c>
      <c r="S245" s="9">
        <f t="shared" ref="S245" si="93">T245+V245</f>
        <v>0</v>
      </c>
      <c r="T245" s="9">
        <v>0</v>
      </c>
      <c r="U245" s="6" t="s">
        <v>141</v>
      </c>
      <c r="V245" s="11">
        <v>0</v>
      </c>
      <c r="W245" s="6" t="s">
        <v>141</v>
      </c>
      <c r="X245" s="90">
        <v>18</v>
      </c>
      <c r="Y245" s="5" t="s">
        <v>719</v>
      </c>
    </row>
    <row r="246" spans="1:25" ht="126" x14ac:dyDescent="0.25">
      <c r="A246" s="71" t="s">
        <v>1000</v>
      </c>
      <c r="B246" s="28" t="s">
        <v>365</v>
      </c>
      <c r="C246" s="5" t="s">
        <v>1363</v>
      </c>
      <c r="D246" s="4" t="s">
        <v>859</v>
      </c>
      <c r="E246" s="5" t="s">
        <v>726</v>
      </c>
      <c r="F246" s="4" t="s">
        <v>727</v>
      </c>
      <c r="G246" s="6"/>
      <c r="H246" s="32"/>
      <c r="I246" s="32"/>
      <c r="J246" s="32"/>
      <c r="K246" s="9">
        <v>5</v>
      </c>
      <c r="L246" s="10">
        <v>5.5</v>
      </c>
      <c r="M246" s="6" t="s">
        <v>1482</v>
      </c>
      <c r="N246" s="6" t="s">
        <v>728</v>
      </c>
      <c r="O246" s="6" t="s">
        <v>728</v>
      </c>
      <c r="P246" s="27" t="s">
        <v>6</v>
      </c>
      <c r="Q246" s="11">
        <v>384</v>
      </c>
      <c r="R246" s="6" t="s">
        <v>1490</v>
      </c>
      <c r="S246" s="9">
        <f t="shared" ref="S246" si="94">T246+V246</f>
        <v>0</v>
      </c>
      <c r="T246" s="9">
        <v>0</v>
      </c>
      <c r="U246" s="6" t="s">
        <v>141</v>
      </c>
      <c r="V246" s="11">
        <v>0</v>
      </c>
      <c r="W246" s="6" t="s">
        <v>141</v>
      </c>
      <c r="X246" s="82">
        <v>384</v>
      </c>
      <c r="Y246" s="5" t="s">
        <v>728</v>
      </c>
    </row>
    <row r="247" spans="1:25" ht="173.25" x14ac:dyDescent="0.25">
      <c r="A247" s="71" t="s">
        <v>1001</v>
      </c>
      <c r="B247" s="28" t="s">
        <v>360</v>
      </c>
      <c r="C247" s="5" t="s">
        <v>1363</v>
      </c>
      <c r="D247" s="4" t="s">
        <v>850</v>
      </c>
      <c r="E247" s="5" t="s">
        <v>729</v>
      </c>
      <c r="F247" s="4" t="s">
        <v>730</v>
      </c>
      <c r="G247" s="6"/>
      <c r="H247" s="32"/>
      <c r="I247" s="32"/>
      <c r="J247" s="32"/>
      <c r="K247" s="9">
        <v>2</v>
      </c>
      <c r="L247" s="10">
        <v>1.5</v>
      </c>
      <c r="M247" s="6" t="s">
        <v>731</v>
      </c>
      <c r="N247" s="6" t="s">
        <v>1474</v>
      </c>
      <c r="O247" s="6" t="s">
        <v>731</v>
      </c>
      <c r="P247" s="27" t="s">
        <v>6</v>
      </c>
      <c r="Q247" s="11">
        <v>4</v>
      </c>
      <c r="R247" s="6" t="s">
        <v>732</v>
      </c>
      <c r="S247" s="9">
        <f t="shared" ref="S247" si="95">T247+V247</f>
        <v>0</v>
      </c>
      <c r="T247" s="9">
        <v>0</v>
      </c>
      <c r="U247" s="6" t="s">
        <v>141</v>
      </c>
      <c r="V247" s="11">
        <v>0</v>
      </c>
      <c r="W247" s="6" t="s">
        <v>141</v>
      </c>
      <c r="X247" s="82">
        <v>200</v>
      </c>
      <c r="Y247" s="5" t="s">
        <v>731</v>
      </c>
    </row>
    <row r="248" spans="1:25" ht="110.25" x14ac:dyDescent="0.25">
      <c r="A248" s="71" t="s">
        <v>1002</v>
      </c>
      <c r="B248" s="28" t="s">
        <v>360</v>
      </c>
      <c r="C248" s="5" t="s">
        <v>1363</v>
      </c>
      <c r="D248" s="4" t="s">
        <v>851</v>
      </c>
      <c r="E248" s="5" t="s">
        <v>742</v>
      </c>
      <c r="F248" s="4" t="s">
        <v>743</v>
      </c>
      <c r="G248" s="6"/>
      <c r="H248" s="32"/>
      <c r="I248" s="32"/>
      <c r="J248" s="32"/>
      <c r="K248" s="9">
        <v>3</v>
      </c>
      <c r="L248" s="10">
        <v>3.3</v>
      </c>
      <c r="M248" s="6" t="s">
        <v>1483</v>
      </c>
      <c r="N248" s="6" t="s">
        <v>744</v>
      </c>
      <c r="O248" s="4" t="s">
        <v>1974</v>
      </c>
      <c r="P248" s="27" t="s">
        <v>6</v>
      </c>
      <c r="Q248" s="11">
        <v>122</v>
      </c>
      <c r="R248" s="6" t="s">
        <v>1491</v>
      </c>
      <c r="S248" s="9">
        <f>T248+V248</f>
        <v>0</v>
      </c>
      <c r="T248" s="9">
        <v>0</v>
      </c>
      <c r="U248" s="6" t="s">
        <v>141</v>
      </c>
      <c r="V248" s="11">
        <v>0</v>
      </c>
      <c r="W248" s="6" t="s">
        <v>141</v>
      </c>
      <c r="X248" s="82">
        <v>122</v>
      </c>
      <c r="Y248" s="5" t="s">
        <v>744</v>
      </c>
    </row>
    <row r="249" spans="1:25" ht="173.25" x14ac:dyDescent="0.25">
      <c r="A249" s="71" t="s">
        <v>1484</v>
      </c>
      <c r="B249" s="28" t="s">
        <v>356</v>
      </c>
      <c r="C249" s="5" t="s">
        <v>1363</v>
      </c>
      <c r="D249" s="4" t="s">
        <v>1492</v>
      </c>
      <c r="E249" s="5" t="s">
        <v>1485</v>
      </c>
      <c r="F249" s="4" t="s">
        <v>1486</v>
      </c>
      <c r="G249" s="6"/>
      <c r="H249" s="32"/>
      <c r="I249" s="32"/>
      <c r="J249" s="32"/>
      <c r="K249" s="9">
        <v>2</v>
      </c>
      <c r="L249" s="10">
        <v>2.2000000000000002</v>
      </c>
      <c r="M249" s="6" t="s">
        <v>1487</v>
      </c>
      <c r="N249" s="6" t="s">
        <v>1488</v>
      </c>
      <c r="O249" s="6" t="s">
        <v>1488</v>
      </c>
      <c r="P249" s="27" t="s">
        <v>6</v>
      </c>
      <c r="Q249" s="11">
        <v>91</v>
      </c>
      <c r="R249" s="6" t="s">
        <v>1965</v>
      </c>
      <c r="S249" s="9">
        <f>T249+V249</f>
        <v>0</v>
      </c>
      <c r="T249" s="9">
        <v>0</v>
      </c>
      <c r="U249" s="6" t="s">
        <v>141</v>
      </c>
      <c r="V249" s="11">
        <v>0</v>
      </c>
      <c r="W249" s="6" t="s">
        <v>141</v>
      </c>
      <c r="X249" s="82">
        <v>91</v>
      </c>
      <c r="Y249" s="5" t="s">
        <v>1487</v>
      </c>
    </row>
    <row r="250" spans="1:25" ht="85.5" customHeight="1" x14ac:dyDescent="0.25">
      <c r="A250" s="71" t="s">
        <v>1528</v>
      </c>
      <c r="B250" s="28" t="s">
        <v>360</v>
      </c>
      <c r="C250" s="5" t="s">
        <v>1363</v>
      </c>
      <c r="D250" s="4" t="s">
        <v>1530</v>
      </c>
      <c r="E250" s="5" t="s">
        <v>1531</v>
      </c>
      <c r="F250" s="4" t="s">
        <v>1532</v>
      </c>
      <c r="G250" s="6"/>
      <c r="H250" s="32">
        <f>5*3.5</f>
        <v>17.5</v>
      </c>
      <c r="I250" s="32"/>
      <c r="J250" s="32"/>
      <c r="K250" s="9">
        <v>2</v>
      </c>
      <c r="L250" s="10">
        <v>2.2000000000000002</v>
      </c>
      <c r="M250" s="6" t="s">
        <v>1533</v>
      </c>
      <c r="N250" s="6" t="s">
        <v>1533</v>
      </c>
      <c r="O250" s="6" t="s">
        <v>1533</v>
      </c>
      <c r="P250" s="27" t="s">
        <v>6</v>
      </c>
      <c r="Q250" s="11">
        <v>1</v>
      </c>
      <c r="R250" s="6" t="s">
        <v>1534</v>
      </c>
      <c r="S250" s="9">
        <f t="shared" ref="S250:S251" si="96">T250+V250</f>
        <v>0</v>
      </c>
      <c r="T250" s="9">
        <v>0</v>
      </c>
      <c r="U250" s="6" t="s">
        <v>141</v>
      </c>
      <c r="V250" s="11">
        <v>0</v>
      </c>
      <c r="W250" s="6" t="s">
        <v>141</v>
      </c>
      <c r="X250" s="90">
        <v>977.4</v>
      </c>
      <c r="Y250" s="5" t="s">
        <v>1533</v>
      </c>
    </row>
    <row r="251" spans="1:25" ht="141.75" x14ac:dyDescent="0.25">
      <c r="A251" s="71" t="s">
        <v>1529</v>
      </c>
      <c r="B251" s="28" t="s">
        <v>360</v>
      </c>
      <c r="C251" s="5" t="s">
        <v>1363</v>
      </c>
      <c r="D251" s="4" t="s">
        <v>1535</v>
      </c>
      <c r="E251" s="5" t="s">
        <v>1536</v>
      </c>
      <c r="F251" s="4" t="s">
        <v>1537</v>
      </c>
      <c r="G251" s="6"/>
      <c r="H251" s="32">
        <f>2.7*8.3</f>
        <v>22.410000000000004</v>
      </c>
      <c r="I251" s="32"/>
      <c r="J251" s="32"/>
      <c r="K251" s="9">
        <v>7</v>
      </c>
      <c r="L251" s="10">
        <v>5.25</v>
      </c>
      <c r="M251" s="6" t="s">
        <v>1539</v>
      </c>
      <c r="N251" s="6" t="s">
        <v>1539</v>
      </c>
      <c r="O251" s="6" t="s">
        <v>1539</v>
      </c>
      <c r="P251" s="27" t="s">
        <v>6</v>
      </c>
      <c r="Q251" s="11">
        <v>1</v>
      </c>
      <c r="R251" s="6" t="s">
        <v>1540</v>
      </c>
      <c r="S251" s="9">
        <f t="shared" si="96"/>
        <v>0</v>
      </c>
      <c r="T251" s="9">
        <v>0</v>
      </c>
      <c r="U251" s="6" t="s">
        <v>141</v>
      </c>
      <c r="V251" s="11">
        <v>0</v>
      </c>
      <c r="W251" s="6" t="s">
        <v>141</v>
      </c>
      <c r="X251" s="90">
        <v>622.6</v>
      </c>
      <c r="Y251" s="5" t="s">
        <v>1539</v>
      </c>
    </row>
    <row r="252" spans="1:25" ht="157.5" x14ac:dyDescent="0.25">
      <c r="A252" s="71" t="s">
        <v>1541</v>
      </c>
      <c r="B252" s="28" t="s">
        <v>360</v>
      </c>
      <c r="C252" s="5" t="s">
        <v>1363</v>
      </c>
      <c r="D252" s="4" t="s">
        <v>1542</v>
      </c>
      <c r="E252" s="5" t="s">
        <v>1543</v>
      </c>
      <c r="F252" s="4" t="s">
        <v>1544</v>
      </c>
      <c r="G252" s="6"/>
      <c r="H252" s="32">
        <f>2.8*2.7</f>
        <v>7.56</v>
      </c>
      <c r="I252" s="32"/>
      <c r="J252" s="32"/>
      <c r="K252" s="9">
        <v>1</v>
      </c>
      <c r="L252" s="10">
        <v>1.1000000000000001</v>
      </c>
      <c r="M252" s="6" t="s">
        <v>1558</v>
      </c>
      <c r="N252" s="6" t="s">
        <v>1558</v>
      </c>
      <c r="O252" s="6" t="s">
        <v>1558</v>
      </c>
      <c r="P252" s="27" t="s">
        <v>6</v>
      </c>
      <c r="Q252" s="11">
        <v>1</v>
      </c>
      <c r="R252" s="6" t="s">
        <v>1545</v>
      </c>
      <c r="S252" s="9">
        <f t="shared" ref="S252" si="97">T252+V252</f>
        <v>0</v>
      </c>
      <c r="T252" s="9">
        <v>0</v>
      </c>
      <c r="U252" s="6" t="s">
        <v>141</v>
      </c>
      <c r="V252" s="11">
        <v>0</v>
      </c>
      <c r="W252" s="6" t="s">
        <v>141</v>
      </c>
      <c r="X252" s="90"/>
      <c r="Y252" s="5" t="s">
        <v>1558</v>
      </c>
    </row>
    <row r="253" spans="1:25" ht="141.75" x14ac:dyDescent="0.25">
      <c r="A253" s="71" t="s">
        <v>1546</v>
      </c>
      <c r="B253" s="28" t="s">
        <v>365</v>
      </c>
      <c r="C253" s="5" t="s">
        <v>1413</v>
      </c>
      <c r="D253" s="4" t="s">
        <v>1548</v>
      </c>
      <c r="E253" s="5" t="s">
        <v>1549</v>
      </c>
      <c r="F253" s="4" t="s">
        <v>1550</v>
      </c>
      <c r="G253" s="6"/>
      <c r="H253" s="32">
        <f>6*4</f>
        <v>24</v>
      </c>
      <c r="I253" s="32"/>
      <c r="J253" s="32">
        <f>(4+6+4)*1.6*2</f>
        <v>44.800000000000004</v>
      </c>
      <c r="K253" s="9">
        <v>1</v>
      </c>
      <c r="L253" s="10">
        <v>8</v>
      </c>
      <c r="M253" s="6" t="s">
        <v>1551</v>
      </c>
      <c r="N253" s="6" t="s">
        <v>1551</v>
      </c>
      <c r="O253" s="6" t="s">
        <v>1551</v>
      </c>
      <c r="P253" s="27" t="s">
        <v>6</v>
      </c>
      <c r="Q253" s="11">
        <v>379</v>
      </c>
      <c r="R253" s="6" t="s">
        <v>1547</v>
      </c>
      <c r="S253" s="9">
        <f t="shared" ref="S253" si="98">T253+V253</f>
        <v>0</v>
      </c>
      <c r="T253" s="9">
        <v>0</v>
      </c>
      <c r="U253" s="6" t="s">
        <v>141</v>
      </c>
      <c r="V253" s="11">
        <v>0</v>
      </c>
      <c r="W253" s="6" t="s">
        <v>141</v>
      </c>
      <c r="X253" s="82">
        <v>379</v>
      </c>
      <c r="Y253" s="5" t="s">
        <v>1551</v>
      </c>
    </row>
    <row r="254" spans="1:25" ht="84.75" customHeight="1" x14ac:dyDescent="0.25">
      <c r="A254" s="71" t="s">
        <v>1552</v>
      </c>
      <c r="B254" s="28" t="s">
        <v>360</v>
      </c>
      <c r="C254" s="5" t="s">
        <v>1413</v>
      </c>
      <c r="D254" s="4" t="s">
        <v>1554</v>
      </c>
      <c r="E254" s="5" t="s">
        <v>1555</v>
      </c>
      <c r="F254" s="4" t="s">
        <v>1556</v>
      </c>
      <c r="G254" s="6"/>
      <c r="H254" s="32">
        <f>4*3</f>
        <v>12</v>
      </c>
      <c r="I254" s="32"/>
      <c r="J254" s="32">
        <f>(3+4+3)*2*2</f>
        <v>40</v>
      </c>
      <c r="K254" s="9">
        <v>2</v>
      </c>
      <c r="L254" s="10">
        <v>1.85</v>
      </c>
      <c r="M254" s="6" t="s">
        <v>1557</v>
      </c>
      <c r="N254" s="6" t="s">
        <v>1557</v>
      </c>
      <c r="O254" s="6" t="s">
        <v>1557</v>
      </c>
      <c r="P254" s="27" t="s">
        <v>6</v>
      </c>
      <c r="Q254" s="11">
        <v>70</v>
      </c>
      <c r="R254" s="6" t="s">
        <v>1553</v>
      </c>
      <c r="S254" s="9">
        <f t="shared" ref="S254" si="99">T254+V254</f>
        <v>0</v>
      </c>
      <c r="T254" s="9">
        <v>0</v>
      </c>
      <c r="U254" s="6" t="s">
        <v>141</v>
      </c>
      <c r="V254" s="11">
        <v>0</v>
      </c>
      <c r="W254" s="6" t="s">
        <v>141</v>
      </c>
      <c r="X254" s="82">
        <v>70</v>
      </c>
      <c r="Y254" s="5" t="s">
        <v>1557</v>
      </c>
    </row>
    <row r="255" spans="1:25" ht="84.75" customHeight="1" x14ac:dyDescent="0.25">
      <c r="A255" s="71" t="s">
        <v>1596</v>
      </c>
      <c r="B255" s="28" t="s">
        <v>365</v>
      </c>
      <c r="C255" s="5" t="s">
        <v>1413</v>
      </c>
      <c r="D255" s="4" t="s">
        <v>1597</v>
      </c>
      <c r="E255" s="5" t="s">
        <v>1598</v>
      </c>
      <c r="F255" s="4" t="s">
        <v>1601</v>
      </c>
      <c r="G255" s="6"/>
      <c r="H255" s="32">
        <f>6*2.5</f>
        <v>15</v>
      </c>
      <c r="I255" s="32"/>
      <c r="J255" s="32">
        <f>(2.5+6+2.5)*2*2</f>
        <v>44</v>
      </c>
      <c r="K255" s="9">
        <v>3</v>
      </c>
      <c r="L255" s="10">
        <v>3.3</v>
      </c>
      <c r="M255" s="6" t="s">
        <v>1599</v>
      </c>
      <c r="N255" s="6" t="s">
        <v>1599</v>
      </c>
      <c r="O255" s="6" t="s">
        <v>1599</v>
      </c>
      <c r="P255" s="27" t="s">
        <v>6</v>
      </c>
      <c r="Q255" s="11">
        <v>176</v>
      </c>
      <c r="R255" s="6" t="s">
        <v>1600</v>
      </c>
      <c r="S255" s="9">
        <f>T255+V255</f>
        <v>0</v>
      </c>
      <c r="T255" s="9">
        <v>0</v>
      </c>
      <c r="U255" s="6" t="s">
        <v>141</v>
      </c>
      <c r="V255" s="11">
        <v>0</v>
      </c>
      <c r="W255" s="6" t="s">
        <v>141</v>
      </c>
      <c r="X255" s="82">
        <v>176</v>
      </c>
      <c r="Y255" s="5" t="s">
        <v>1599</v>
      </c>
    </row>
    <row r="256" spans="1:25" ht="84.75" customHeight="1" x14ac:dyDescent="0.25">
      <c r="A256" s="71" t="s">
        <v>1611</v>
      </c>
      <c r="B256" s="28" t="s">
        <v>360</v>
      </c>
      <c r="C256" s="5" t="s">
        <v>1363</v>
      </c>
      <c r="D256" s="4" t="s">
        <v>1612</v>
      </c>
      <c r="E256" s="5" t="s">
        <v>1613</v>
      </c>
      <c r="F256" s="4" t="s">
        <v>1616</v>
      </c>
      <c r="G256" s="6"/>
      <c r="H256" s="32">
        <f>10*10</f>
        <v>100</v>
      </c>
      <c r="I256" s="32"/>
      <c r="J256" s="32">
        <f>(10+10+10)*2*2</f>
        <v>120</v>
      </c>
      <c r="K256" s="9">
        <v>1</v>
      </c>
      <c r="L256" s="10">
        <v>1.1000000000000001</v>
      </c>
      <c r="M256" s="6" t="s">
        <v>1614</v>
      </c>
      <c r="N256" s="6" t="s">
        <v>1614</v>
      </c>
      <c r="O256" s="6" t="s">
        <v>1614</v>
      </c>
      <c r="P256" s="27" t="s">
        <v>6</v>
      </c>
      <c r="Q256" s="11">
        <v>1</v>
      </c>
      <c r="R256" s="6" t="s">
        <v>1615</v>
      </c>
      <c r="S256" s="9">
        <f>T256+V256</f>
        <v>0</v>
      </c>
      <c r="T256" s="9">
        <v>0</v>
      </c>
      <c r="U256" s="6" t="s">
        <v>141</v>
      </c>
      <c r="V256" s="11">
        <v>0</v>
      </c>
      <c r="W256" s="6" t="s">
        <v>141</v>
      </c>
      <c r="X256" s="82"/>
      <c r="Y256" s="5" t="s">
        <v>1614</v>
      </c>
    </row>
    <row r="257" spans="1:25" ht="84.75" customHeight="1" x14ac:dyDescent="0.25">
      <c r="A257" s="71" t="s">
        <v>1617</v>
      </c>
      <c r="B257" s="28" t="s">
        <v>360</v>
      </c>
      <c r="C257" s="5" t="s">
        <v>1363</v>
      </c>
      <c r="D257" s="4" t="s">
        <v>1619</v>
      </c>
      <c r="E257" s="5" t="s">
        <v>1622</v>
      </c>
      <c r="F257" s="4" t="s">
        <v>1620</v>
      </c>
      <c r="G257" s="6"/>
      <c r="H257" s="32">
        <f>3*2.8</f>
        <v>8.3999999999999986</v>
      </c>
      <c r="I257" s="32"/>
      <c r="J257" s="32">
        <f>(2.8+3+2.8)*2*2</f>
        <v>34.4</v>
      </c>
      <c r="K257" s="9">
        <v>1</v>
      </c>
      <c r="L257" s="10">
        <v>1.1000000000000001</v>
      </c>
      <c r="M257" s="6" t="s">
        <v>1621</v>
      </c>
      <c r="N257" s="6" t="s">
        <v>1621</v>
      </c>
      <c r="O257" s="6" t="s">
        <v>1621</v>
      </c>
      <c r="P257" s="27" t="s">
        <v>6</v>
      </c>
      <c r="Q257" s="11">
        <v>1</v>
      </c>
      <c r="R257" s="6" t="s">
        <v>1618</v>
      </c>
      <c r="S257" s="9">
        <f>T257+V257</f>
        <v>0</v>
      </c>
      <c r="T257" s="9">
        <v>0</v>
      </c>
      <c r="U257" s="6" t="s">
        <v>141</v>
      </c>
      <c r="V257" s="11">
        <v>0</v>
      </c>
      <c r="W257" s="6" t="s">
        <v>141</v>
      </c>
      <c r="X257" s="82"/>
      <c r="Y257" s="5" t="s">
        <v>1621</v>
      </c>
    </row>
    <row r="258" spans="1:25" ht="84.75" customHeight="1" x14ac:dyDescent="0.25">
      <c r="A258" s="71" t="s">
        <v>1642</v>
      </c>
      <c r="B258" s="28" t="s">
        <v>357</v>
      </c>
      <c r="C258" s="5" t="s">
        <v>1363</v>
      </c>
      <c r="D258" s="4" t="s">
        <v>1643</v>
      </c>
      <c r="E258" s="5" t="s">
        <v>1644</v>
      </c>
      <c r="F258" s="4" t="s">
        <v>1645</v>
      </c>
      <c r="G258" s="6"/>
      <c r="H258" s="110">
        <f>2.85*2.5</f>
        <v>7.125</v>
      </c>
      <c r="I258" s="32"/>
      <c r="J258" s="32">
        <f>(2.5+2.85+2.5)*1.6*2</f>
        <v>25.12</v>
      </c>
      <c r="K258" s="9">
        <v>1</v>
      </c>
      <c r="L258" s="10">
        <v>0.77</v>
      </c>
      <c r="M258" s="6" t="s">
        <v>1646</v>
      </c>
      <c r="N258" s="6" t="s">
        <v>1646</v>
      </c>
      <c r="O258" s="6" t="s">
        <v>1646</v>
      </c>
      <c r="P258" s="27" t="s">
        <v>6</v>
      </c>
      <c r="Q258" s="11">
        <v>1</v>
      </c>
      <c r="R258" s="6" t="s">
        <v>255</v>
      </c>
      <c r="S258" s="9">
        <f>T258+V258</f>
        <v>0</v>
      </c>
      <c r="T258" s="9">
        <v>0</v>
      </c>
      <c r="U258" s="6" t="s">
        <v>141</v>
      </c>
      <c r="V258" s="11">
        <v>0</v>
      </c>
      <c r="W258" s="6" t="s">
        <v>141</v>
      </c>
      <c r="X258" s="82"/>
      <c r="Y258" s="5" t="s">
        <v>1646</v>
      </c>
    </row>
    <row r="259" spans="1:25" ht="84.75" customHeight="1" x14ac:dyDescent="0.25">
      <c r="A259" s="71" t="s">
        <v>1656</v>
      </c>
      <c r="B259" s="28" t="s">
        <v>360</v>
      </c>
      <c r="C259" s="5" t="s">
        <v>1363</v>
      </c>
      <c r="D259" s="4" t="s">
        <v>1658</v>
      </c>
      <c r="E259" s="5" t="s">
        <v>1659</v>
      </c>
      <c r="F259" s="4" t="s">
        <v>1660</v>
      </c>
      <c r="G259" s="6"/>
      <c r="H259" s="110">
        <f>3*5</f>
        <v>15</v>
      </c>
      <c r="I259" s="32">
        <f>9*7-H259</f>
        <v>48</v>
      </c>
      <c r="J259" s="32">
        <f>(3+5+3)*1.7*2</f>
        <v>37.4</v>
      </c>
      <c r="K259" s="9">
        <v>2</v>
      </c>
      <c r="L259" s="10">
        <v>2.2000000000000002</v>
      </c>
      <c r="M259" s="6" t="s">
        <v>1661</v>
      </c>
      <c r="N259" s="6" t="s">
        <v>1661</v>
      </c>
      <c r="O259" s="6" t="s">
        <v>1661</v>
      </c>
      <c r="P259" s="27" t="s">
        <v>6</v>
      </c>
      <c r="Q259" s="11">
        <v>1</v>
      </c>
      <c r="R259" s="6" t="s">
        <v>1662</v>
      </c>
      <c r="S259" s="9">
        <f t="shared" ref="S259:S260" si="100">T259+V259</f>
        <v>0</v>
      </c>
      <c r="T259" s="9">
        <v>0</v>
      </c>
      <c r="U259" s="6" t="s">
        <v>141</v>
      </c>
      <c r="V259" s="11">
        <v>0</v>
      </c>
      <c r="W259" s="6" t="s">
        <v>141</v>
      </c>
      <c r="X259" s="82"/>
      <c r="Y259" s="5" t="s">
        <v>1661</v>
      </c>
    </row>
    <row r="260" spans="1:25" ht="84.75" customHeight="1" x14ac:dyDescent="0.25">
      <c r="A260" s="71" t="s">
        <v>1657</v>
      </c>
      <c r="B260" s="28" t="s">
        <v>360</v>
      </c>
      <c r="C260" s="5" t="s">
        <v>1363</v>
      </c>
      <c r="D260" s="4" t="s">
        <v>1663</v>
      </c>
      <c r="E260" s="5" t="s">
        <v>1659</v>
      </c>
      <c r="F260" s="4" t="s">
        <v>1660</v>
      </c>
      <c r="G260" s="6"/>
      <c r="H260" s="110">
        <f>3*5</f>
        <v>15</v>
      </c>
      <c r="I260" s="32">
        <f>9*7-H260</f>
        <v>48</v>
      </c>
      <c r="J260" s="32">
        <f>(3+5+3)*1.7*2</f>
        <v>37.4</v>
      </c>
      <c r="K260" s="9">
        <v>2</v>
      </c>
      <c r="L260" s="10">
        <v>2.2000000000000002</v>
      </c>
      <c r="M260" s="6" t="s">
        <v>1661</v>
      </c>
      <c r="N260" s="6" t="s">
        <v>1661</v>
      </c>
      <c r="O260" s="6" t="s">
        <v>1661</v>
      </c>
      <c r="P260" s="27" t="s">
        <v>6</v>
      </c>
      <c r="Q260" s="11">
        <v>1</v>
      </c>
      <c r="R260" s="6" t="s">
        <v>1664</v>
      </c>
      <c r="S260" s="9">
        <f t="shared" si="100"/>
        <v>0</v>
      </c>
      <c r="T260" s="9">
        <v>0</v>
      </c>
      <c r="U260" s="6" t="s">
        <v>141</v>
      </c>
      <c r="V260" s="11">
        <v>0</v>
      </c>
      <c r="W260" s="6" t="s">
        <v>141</v>
      </c>
      <c r="X260" s="82"/>
      <c r="Y260" s="5" t="s">
        <v>1661</v>
      </c>
    </row>
    <row r="261" spans="1:25" ht="84.75" customHeight="1" x14ac:dyDescent="0.25">
      <c r="A261" s="71" t="s">
        <v>1669</v>
      </c>
      <c r="B261" s="28" t="s">
        <v>360</v>
      </c>
      <c r="C261" s="5" t="s">
        <v>1363</v>
      </c>
      <c r="D261" s="4" t="s">
        <v>1670</v>
      </c>
      <c r="E261" s="5" t="s">
        <v>1671</v>
      </c>
      <c r="F261" s="4" t="s">
        <v>1672</v>
      </c>
      <c r="G261" s="6"/>
      <c r="H261" s="110">
        <f>4*5</f>
        <v>20</v>
      </c>
      <c r="I261" s="32">
        <f>8*9-H261</f>
        <v>52</v>
      </c>
      <c r="J261" s="32"/>
      <c r="K261" s="9">
        <v>1</v>
      </c>
      <c r="L261" s="10">
        <v>0.75</v>
      </c>
      <c r="M261" s="6" t="s">
        <v>1673</v>
      </c>
      <c r="N261" s="6" t="s">
        <v>1673</v>
      </c>
      <c r="O261" s="6" t="s">
        <v>1673</v>
      </c>
      <c r="P261" s="27" t="s">
        <v>6</v>
      </c>
      <c r="Q261" s="11">
        <v>1</v>
      </c>
      <c r="R261" s="6" t="s">
        <v>1674</v>
      </c>
      <c r="S261" s="9">
        <f t="shared" ref="S261" si="101">T261+V261</f>
        <v>0</v>
      </c>
      <c r="T261" s="9">
        <v>0</v>
      </c>
      <c r="U261" s="6" t="s">
        <v>141</v>
      </c>
      <c r="V261" s="11">
        <v>0</v>
      </c>
      <c r="W261" s="6" t="s">
        <v>141</v>
      </c>
      <c r="X261" s="82"/>
      <c r="Y261" s="5" t="s">
        <v>1673</v>
      </c>
    </row>
    <row r="262" spans="1:25" ht="113.25" customHeight="1" x14ac:dyDescent="0.25">
      <c r="A262" s="71" t="s">
        <v>1675</v>
      </c>
      <c r="B262" s="28" t="s">
        <v>365</v>
      </c>
      <c r="C262" s="5" t="s">
        <v>1363</v>
      </c>
      <c r="D262" s="4" t="s">
        <v>1676</v>
      </c>
      <c r="E262" s="5" t="s">
        <v>1677</v>
      </c>
      <c r="F262" s="4" t="s">
        <v>1678</v>
      </c>
      <c r="G262" s="6"/>
      <c r="H262" s="110">
        <f>2.75*8</f>
        <v>22</v>
      </c>
      <c r="I262" s="32">
        <f>6.75*12-H262</f>
        <v>59</v>
      </c>
      <c r="J262" s="32">
        <f>(2.75+8+2.75)*2*2</f>
        <v>54</v>
      </c>
      <c r="K262" s="9">
        <v>2</v>
      </c>
      <c r="L262" s="10">
        <v>1.5</v>
      </c>
      <c r="M262" s="6" t="s">
        <v>1679</v>
      </c>
      <c r="N262" s="6" t="s">
        <v>1679</v>
      </c>
      <c r="O262" s="6" t="s">
        <v>1679</v>
      </c>
      <c r="P262" s="27" t="s">
        <v>6</v>
      </c>
      <c r="Q262" s="11">
        <v>80</v>
      </c>
      <c r="R262" s="4" t="s">
        <v>1680</v>
      </c>
      <c r="S262" s="9">
        <f t="shared" ref="S262" si="102">T262+V262</f>
        <v>0</v>
      </c>
      <c r="T262" s="9">
        <v>0</v>
      </c>
      <c r="U262" s="6" t="s">
        <v>141</v>
      </c>
      <c r="V262" s="11">
        <v>0</v>
      </c>
      <c r="W262" s="6" t="s">
        <v>141</v>
      </c>
      <c r="X262" s="82"/>
      <c r="Y262" s="5" t="s">
        <v>1679</v>
      </c>
    </row>
    <row r="263" spans="1:25" ht="113.25" customHeight="1" x14ac:dyDescent="0.25">
      <c r="A263" s="71" t="s">
        <v>1681</v>
      </c>
      <c r="B263" s="28" t="s">
        <v>360</v>
      </c>
      <c r="C263" s="5" t="s">
        <v>1363</v>
      </c>
      <c r="D263" s="4" t="s">
        <v>1683</v>
      </c>
      <c r="E263" s="5" t="s">
        <v>1684</v>
      </c>
      <c r="F263" s="4" t="s">
        <v>1686</v>
      </c>
      <c r="G263" s="6"/>
      <c r="H263" s="110"/>
      <c r="I263" s="32"/>
      <c r="J263" s="32"/>
      <c r="K263" s="9">
        <v>7</v>
      </c>
      <c r="L263" s="10">
        <v>5.6</v>
      </c>
      <c r="M263" s="6" t="s">
        <v>1685</v>
      </c>
      <c r="N263" s="6" t="s">
        <v>1685</v>
      </c>
      <c r="O263" s="6" t="s">
        <v>1685</v>
      </c>
      <c r="P263" s="27" t="s">
        <v>6</v>
      </c>
      <c r="Q263" s="11">
        <v>1</v>
      </c>
      <c r="R263" s="4" t="s">
        <v>1682</v>
      </c>
      <c r="S263" s="9">
        <f t="shared" ref="S263" si="103">T263+V263</f>
        <v>0</v>
      </c>
      <c r="T263" s="9">
        <v>0</v>
      </c>
      <c r="U263" s="6" t="s">
        <v>141</v>
      </c>
      <c r="V263" s="11">
        <v>0</v>
      </c>
      <c r="W263" s="6" t="s">
        <v>141</v>
      </c>
      <c r="X263" s="82"/>
      <c r="Y263" s="5" t="s">
        <v>1685</v>
      </c>
    </row>
    <row r="264" spans="1:25" ht="113.25" customHeight="1" x14ac:dyDescent="0.25">
      <c r="A264" s="71" t="s">
        <v>1689</v>
      </c>
      <c r="B264" s="28" t="s">
        <v>365</v>
      </c>
      <c r="C264" s="5" t="s">
        <v>1363</v>
      </c>
      <c r="D264" s="4" t="s">
        <v>1749</v>
      </c>
      <c r="E264" s="5" t="s">
        <v>1690</v>
      </c>
      <c r="F264" s="4" t="s">
        <v>1691</v>
      </c>
      <c r="G264" s="6"/>
      <c r="H264" s="110"/>
      <c r="I264" s="32"/>
      <c r="J264" s="32"/>
      <c r="K264" s="9">
        <v>1</v>
      </c>
      <c r="L264" s="10">
        <v>1.1000000000000001</v>
      </c>
      <c r="M264" s="6" t="s">
        <v>1694</v>
      </c>
      <c r="N264" s="6" t="s">
        <v>1693</v>
      </c>
      <c r="O264" s="6" t="s">
        <v>1693</v>
      </c>
      <c r="P264" s="27" t="s">
        <v>6</v>
      </c>
      <c r="Q264" s="11">
        <v>1</v>
      </c>
      <c r="R264" s="4" t="s">
        <v>1692</v>
      </c>
      <c r="S264" s="9">
        <f t="shared" ref="S264" si="104">T264+V264</f>
        <v>0</v>
      </c>
      <c r="T264" s="9">
        <v>0</v>
      </c>
      <c r="U264" s="6" t="s">
        <v>141</v>
      </c>
      <c r="V264" s="11">
        <v>0</v>
      </c>
      <c r="W264" s="6" t="s">
        <v>141</v>
      </c>
      <c r="X264" s="82"/>
      <c r="Y264" s="5" t="s">
        <v>1693</v>
      </c>
    </row>
    <row r="265" spans="1:25" ht="113.25" customHeight="1" x14ac:dyDescent="0.25">
      <c r="A265" s="71" t="s">
        <v>1695</v>
      </c>
      <c r="B265" s="28" t="s">
        <v>360</v>
      </c>
      <c r="C265" s="5" t="s">
        <v>1363</v>
      </c>
      <c r="D265" s="4" t="s">
        <v>1696</v>
      </c>
      <c r="E265" s="5" t="s">
        <v>1697</v>
      </c>
      <c r="F265" s="4" t="s">
        <v>1698</v>
      </c>
      <c r="G265" s="6"/>
      <c r="H265" s="110"/>
      <c r="I265" s="32"/>
      <c r="J265" s="32"/>
      <c r="K265" s="9">
        <v>2</v>
      </c>
      <c r="L265" s="10">
        <v>2.2000000000000002</v>
      </c>
      <c r="M265" s="6" t="s">
        <v>1699</v>
      </c>
      <c r="N265" s="6" t="s">
        <v>1699</v>
      </c>
      <c r="O265" s="6" t="s">
        <v>1699</v>
      </c>
      <c r="P265" s="27" t="s">
        <v>6</v>
      </c>
      <c r="Q265" s="11">
        <v>1</v>
      </c>
      <c r="R265" s="4" t="s">
        <v>1700</v>
      </c>
      <c r="S265" s="9">
        <f t="shared" ref="S265" si="105">T265+V265</f>
        <v>0</v>
      </c>
      <c r="T265" s="9">
        <v>0</v>
      </c>
      <c r="U265" s="6" t="s">
        <v>141</v>
      </c>
      <c r="V265" s="11">
        <v>0</v>
      </c>
      <c r="W265" s="6" t="s">
        <v>141</v>
      </c>
      <c r="X265" s="82"/>
      <c r="Y265" s="5" t="s">
        <v>1699</v>
      </c>
    </row>
    <row r="266" spans="1:25" ht="113.25" customHeight="1" x14ac:dyDescent="0.25">
      <c r="A266" s="71" t="s">
        <v>1742</v>
      </c>
      <c r="B266" s="28" t="s">
        <v>360</v>
      </c>
      <c r="C266" s="5" t="s">
        <v>1363</v>
      </c>
      <c r="D266" s="4" t="s">
        <v>1744</v>
      </c>
      <c r="E266" s="5" t="s">
        <v>1745</v>
      </c>
      <c r="F266" s="4" t="s">
        <v>1746</v>
      </c>
      <c r="G266" s="6"/>
      <c r="H266" s="110"/>
      <c r="I266" s="32"/>
      <c r="J266" s="32"/>
      <c r="K266" s="9">
        <v>3</v>
      </c>
      <c r="L266" s="10">
        <v>3.3</v>
      </c>
      <c r="M266" s="6" t="s">
        <v>1747</v>
      </c>
      <c r="N266" s="6" t="s">
        <v>1748</v>
      </c>
      <c r="O266" s="6" t="s">
        <v>1748</v>
      </c>
      <c r="P266" s="27" t="s">
        <v>6</v>
      </c>
      <c r="Q266" s="11">
        <v>1</v>
      </c>
      <c r="R266" s="4" t="s">
        <v>1743</v>
      </c>
      <c r="S266" s="9">
        <f t="shared" ref="S266" si="106">T266+V266</f>
        <v>0</v>
      </c>
      <c r="T266" s="9">
        <v>0</v>
      </c>
      <c r="U266" s="6" t="s">
        <v>141</v>
      </c>
      <c r="V266" s="11">
        <v>0</v>
      </c>
      <c r="W266" s="6" t="s">
        <v>141</v>
      </c>
      <c r="X266" s="82"/>
      <c r="Y266" s="6" t="s">
        <v>1748</v>
      </c>
    </row>
    <row r="267" spans="1:25" ht="113.25" customHeight="1" x14ac:dyDescent="0.25">
      <c r="A267" s="71" t="s">
        <v>1750</v>
      </c>
      <c r="B267" s="28" t="s">
        <v>357</v>
      </c>
      <c r="C267" s="5" t="s">
        <v>1363</v>
      </c>
      <c r="D267" s="4" t="s">
        <v>1752</v>
      </c>
      <c r="E267" s="5" t="s">
        <v>1753</v>
      </c>
      <c r="F267" s="4" t="s">
        <v>1751</v>
      </c>
      <c r="G267" s="6"/>
      <c r="H267" s="110"/>
      <c r="I267" s="32"/>
      <c r="J267" s="32"/>
      <c r="K267" s="9">
        <v>1</v>
      </c>
      <c r="L267" s="10">
        <v>1.1000000000000001</v>
      </c>
      <c r="M267" s="6" t="s">
        <v>1754</v>
      </c>
      <c r="N267" s="6" t="s">
        <v>1754</v>
      </c>
      <c r="O267" s="6" t="s">
        <v>1754</v>
      </c>
      <c r="P267" s="27" t="s">
        <v>6</v>
      </c>
      <c r="Q267" s="11">
        <v>1</v>
      </c>
      <c r="R267" s="4" t="s">
        <v>1755</v>
      </c>
      <c r="S267" s="9">
        <f t="shared" ref="S267" si="107">T267+V267</f>
        <v>0</v>
      </c>
      <c r="T267" s="9">
        <v>0</v>
      </c>
      <c r="U267" s="6" t="s">
        <v>141</v>
      </c>
      <c r="V267" s="11">
        <v>0</v>
      </c>
      <c r="W267" s="6" t="s">
        <v>141</v>
      </c>
      <c r="X267" s="82"/>
      <c r="Y267" s="6" t="s">
        <v>1754</v>
      </c>
    </row>
    <row r="268" spans="1:25" ht="113.25" customHeight="1" x14ac:dyDescent="0.25">
      <c r="A268" s="71" t="s">
        <v>1764</v>
      </c>
      <c r="B268" s="28" t="s">
        <v>357</v>
      </c>
      <c r="C268" s="5" t="s">
        <v>1363</v>
      </c>
      <c r="D268" s="4" t="s">
        <v>1765</v>
      </c>
      <c r="E268" s="5" t="s">
        <v>1766</v>
      </c>
      <c r="F268" s="4" t="s">
        <v>1767</v>
      </c>
      <c r="G268" s="6"/>
      <c r="H268" s="110"/>
      <c r="I268" s="32"/>
      <c r="J268" s="32"/>
      <c r="K268" s="9">
        <v>2</v>
      </c>
      <c r="L268" s="10">
        <v>2.2000000000000002</v>
      </c>
      <c r="M268" s="6" t="s">
        <v>1768</v>
      </c>
      <c r="N268" s="6" t="s">
        <v>1768</v>
      </c>
      <c r="O268" s="6" t="s">
        <v>1768</v>
      </c>
      <c r="P268" s="27" t="s">
        <v>6</v>
      </c>
      <c r="Q268" s="11">
        <v>1</v>
      </c>
      <c r="R268" s="4" t="s">
        <v>1769</v>
      </c>
      <c r="S268" s="9">
        <f t="shared" ref="S268" si="108">T268+V268</f>
        <v>0</v>
      </c>
      <c r="T268" s="9">
        <v>0</v>
      </c>
      <c r="U268" s="6" t="s">
        <v>141</v>
      </c>
      <c r="V268" s="11">
        <v>0</v>
      </c>
      <c r="W268" s="6" t="s">
        <v>141</v>
      </c>
      <c r="X268" s="82"/>
      <c r="Y268" s="6" t="s">
        <v>1768</v>
      </c>
    </row>
    <row r="269" spans="1:25" ht="113.25" customHeight="1" x14ac:dyDescent="0.25">
      <c r="A269" s="71" t="s">
        <v>1771</v>
      </c>
      <c r="B269" s="28" t="s">
        <v>365</v>
      </c>
      <c r="C269" s="5" t="s">
        <v>1363</v>
      </c>
      <c r="D269" s="4" t="s">
        <v>1777</v>
      </c>
      <c r="E269" s="5" t="s">
        <v>1772</v>
      </c>
      <c r="F269" s="4" t="s">
        <v>1773</v>
      </c>
      <c r="G269" s="6"/>
      <c r="H269" s="110"/>
      <c r="I269" s="32"/>
      <c r="J269" s="32"/>
      <c r="K269" s="9">
        <v>2</v>
      </c>
      <c r="L269" s="10">
        <v>2.2000000000000002</v>
      </c>
      <c r="M269" s="6" t="s">
        <v>1775</v>
      </c>
      <c r="N269" s="6" t="s">
        <v>1774</v>
      </c>
      <c r="O269" s="6" t="s">
        <v>1774</v>
      </c>
      <c r="P269" s="27" t="s">
        <v>6</v>
      </c>
      <c r="Q269" s="11">
        <v>1</v>
      </c>
      <c r="R269" s="4" t="s">
        <v>1776</v>
      </c>
      <c r="S269" s="9">
        <f t="shared" ref="S269" si="109">T269+V269</f>
        <v>0</v>
      </c>
      <c r="T269" s="9">
        <v>0</v>
      </c>
      <c r="U269" s="6" t="s">
        <v>141</v>
      </c>
      <c r="V269" s="11">
        <v>0</v>
      </c>
      <c r="W269" s="6" t="s">
        <v>141</v>
      </c>
      <c r="X269" s="82"/>
      <c r="Y269" s="6" t="s">
        <v>1774</v>
      </c>
    </row>
    <row r="270" spans="1:25" ht="113.25" customHeight="1" x14ac:dyDescent="0.25">
      <c r="A270" s="71" t="s">
        <v>1786</v>
      </c>
      <c r="B270" s="28" t="s">
        <v>360</v>
      </c>
      <c r="C270" s="5" t="s">
        <v>1363</v>
      </c>
      <c r="D270" s="4" t="s">
        <v>1787</v>
      </c>
      <c r="E270" s="5" t="s">
        <v>1788</v>
      </c>
      <c r="F270" s="4" t="s">
        <v>1789</v>
      </c>
      <c r="G270" s="6"/>
      <c r="H270" s="110"/>
      <c r="I270" s="32"/>
      <c r="J270" s="32"/>
      <c r="K270" s="9">
        <v>1</v>
      </c>
      <c r="L270" s="10">
        <v>1.1000000000000001</v>
      </c>
      <c r="M270" s="6" t="s">
        <v>1790</v>
      </c>
      <c r="N270" s="6" t="s">
        <v>1790</v>
      </c>
      <c r="O270" s="6" t="s">
        <v>1790</v>
      </c>
      <c r="P270" s="27" t="s">
        <v>6</v>
      </c>
      <c r="Q270" s="11">
        <v>1</v>
      </c>
      <c r="R270" s="4" t="s">
        <v>1791</v>
      </c>
      <c r="S270" s="9">
        <f t="shared" ref="S270" si="110">T270+V270</f>
        <v>0</v>
      </c>
      <c r="T270" s="9">
        <v>0</v>
      </c>
      <c r="U270" s="6" t="s">
        <v>141</v>
      </c>
      <c r="V270" s="11">
        <v>0</v>
      </c>
      <c r="W270" s="6" t="s">
        <v>141</v>
      </c>
      <c r="X270" s="82"/>
      <c r="Y270" s="6" t="s">
        <v>1790</v>
      </c>
    </row>
    <row r="271" spans="1:25" ht="113.25" customHeight="1" x14ac:dyDescent="0.25">
      <c r="A271" s="71" t="s">
        <v>1795</v>
      </c>
      <c r="B271" s="28" t="s">
        <v>360</v>
      </c>
      <c r="C271" s="5" t="s">
        <v>1363</v>
      </c>
      <c r="D271" s="4" t="s">
        <v>1796</v>
      </c>
      <c r="E271" s="5" t="s">
        <v>1797</v>
      </c>
      <c r="F271" s="4" t="s">
        <v>1798</v>
      </c>
      <c r="G271" s="6"/>
      <c r="H271" s="110"/>
      <c r="I271" s="32"/>
      <c r="J271" s="32"/>
      <c r="K271" s="9">
        <v>1</v>
      </c>
      <c r="L271" s="10">
        <v>1</v>
      </c>
      <c r="M271" s="6" t="s">
        <v>1801</v>
      </c>
      <c r="N271" s="6" t="s">
        <v>1800</v>
      </c>
      <c r="O271" s="6" t="s">
        <v>1800</v>
      </c>
      <c r="P271" s="27" t="s">
        <v>6</v>
      </c>
      <c r="Q271" s="11">
        <v>1</v>
      </c>
      <c r="R271" s="4" t="s">
        <v>1799</v>
      </c>
      <c r="S271" s="9">
        <f t="shared" ref="S271" si="111">T271+V271</f>
        <v>0</v>
      </c>
      <c r="T271" s="9">
        <v>0</v>
      </c>
      <c r="U271" s="6" t="s">
        <v>141</v>
      </c>
      <c r="V271" s="11">
        <v>0</v>
      </c>
      <c r="W271" s="6" t="s">
        <v>141</v>
      </c>
      <c r="X271" s="82"/>
      <c r="Y271" s="6" t="s">
        <v>1800</v>
      </c>
    </row>
    <row r="272" spans="1:25" ht="113.25" customHeight="1" x14ac:dyDescent="0.25">
      <c r="A272" s="71" t="s">
        <v>1802</v>
      </c>
      <c r="B272" s="28" t="s">
        <v>360</v>
      </c>
      <c r="C272" s="5" t="s">
        <v>1363</v>
      </c>
      <c r="D272" s="4" t="s">
        <v>1803</v>
      </c>
      <c r="E272" s="5" t="s">
        <v>1804</v>
      </c>
      <c r="F272" s="4" t="s">
        <v>1805</v>
      </c>
      <c r="G272" s="6"/>
      <c r="H272" s="110"/>
      <c r="I272" s="32"/>
      <c r="J272" s="32"/>
      <c r="K272" s="9">
        <v>2</v>
      </c>
      <c r="L272" s="10">
        <v>0.72</v>
      </c>
      <c r="M272" s="6" t="s">
        <v>1806</v>
      </c>
      <c r="N272" s="6" t="s">
        <v>1806</v>
      </c>
      <c r="O272" s="6" t="s">
        <v>1806</v>
      </c>
      <c r="P272" s="27" t="s">
        <v>6</v>
      </c>
      <c r="Q272" s="11">
        <v>1</v>
      </c>
      <c r="R272" s="4" t="s">
        <v>1807</v>
      </c>
      <c r="S272" s="9">
        <f t="shared" ref="S272" si="112">T272+V272</f>
        <v>0</v>
      </c>
      <c r="T272" s="9">
        <v>0</v>
      </c>
      <c r="U272" s="6" t="s">
        <v>141</v>
      </c>
      <c r="V272" s="11">
        <v>0</v>
      </c>
      <c r="W272" s="6" t="s">
        <v>141</v>
      </c>
      <c r="X272" s="82"/>
      <c r="Y272" s="6" t="s">
        <v>1806</v>
      </c>
    </row>
    <row r="273" spans="1:37" ht="113.25" customHeight="1" x14ac:dyDescent="0.25">
      <c r="A273" s="71" t="s">
        <v>1843</v>
      </c>
      <c r="B273" s="28" t="s">
        <v>360</v>
      </c>
      <c r="C273" s="5" t="s">
        <v>1363</v>
      </c>
      <c r="D273" s="4" t="s">
        <v>1845</v>
      </c>
      <c r="E273" s="5" t="s">
        <v>1846</v>
      </c>
      <c r="F273" s="4" t="s">
        <v>1847</v>
      </c>
      <c r="G273" s="6"/>
      <c r="H273" s="110"/>
      <c r="I273" s="32"/>
      <c r="J273" s="32"/>
      <c r="K273" s="9">
        <v>2</v>
      </c>
      <c r="L273" s="10">
        <v>2</v>
      </c>
      <c r="M273" s="6" t="s">
        <v>1848</v>
      </c>
      <c r="N273" s="6" t="s">
        <v>1849</v>
      </c>
      <c r="O273" s="6" t="s">
        <v>1849</v>
      </c>
      <c r="P273" s="27" t="s">
        <v>6</v>
      </c>
      <c r="Q273" s="11">
        <v>2</v>
      </c>
      <c r="R273" s="4" t="s">
        <v>1844</v>
      </c>
      <c r="S273" s="9">
        <f t="shared" ref="S273" si="113">T273+V273</f>
        <v>0</v>
      </c>
      <c r="T273" s="9">
        <v>0</v>
      </c>
      <c r="U273" s="6" t="s">
        <v>141</v>
      </c>
      <c r="V273" s="11">
        <v>0</v>
      </c>
      <c r="W273" s="6" t="s">
        <v>141</v>
      </c>
      <c r="X273" s="82"/>
      <c r="Y273" s="6" t="s">
        <v>1849</v>
      </c>
    </row>
    <row r="274" spans="1:37" ht="113.25" customHeight="1" x14ac:dyDescent="0.25">
      <c r="A274" s="71" t="s">
        <v>1885</v>
      </c>
      <c r="B274" s="28" t="s">
        <v>360</v>
      </c>
      <c r="C274" s="5" t="s">
        <v>1363</v>
      </c>
      <c r="D274" s="4" t="s">
        <v>1887</v>
      </c>
      <c r="E274" s="5" t="s">
        <v>1888</v>
      </c>
      <c r="F274" s="4" t="s">
        <v>1889</v>
      </c>
      <c r="G274" s="6"/>
      <c r="H274" s="110"/>
      <c r="I274" s="32"/>
      <c r="J274" s="32"/>
      <c r="K274" s="9">
        <v>1</v>
      </c>
      <c r="L274" s="10">
        <v>1.1000000000000001</v>
      </c>
      <c r="M274" s="6" t="s">
        <v>1890</v>
      </c>
      <c r="N274" s="6" t="s">
        <v>1890</v>
      </c>
      <c r="O274" s="6" t="s">
        <v>1890</v>
      </c>
      <c r="P274" s="27" t="s">
        <v>6</v>
      </c>
      <c r="Q274" s="11">
        <v>1</v>
      </c>
      <c r="R274" s="4" t="s">
        <v>1886</v>
      </c>
      <c r="S274" s="9">
        <f t="shared" ref="S274" si="114">T274+V274</f>
        <v>0</v>
      </c>
      <c r="T274" s="9">
        <v>0</v>
      </c>
      <c r="U274" s="6" t="s">
        <v>141</v>
      </c>
      <c r="V274" s="11">
        <v>0</v>
      </c>
      <c r="W274" s="6" t="s">
        <v>141</v>
      </c>
      <c r="X274" s="82"/>
      <c r="Y274" s="6" t="s">
        <v>1890</v>
      </c>
    </row>
    <row r="275" spans="1:37" ht="113.25" customHeight="1" x14ac:dyDescent="0.25">
      <c r="A275" s="71" t="s">
        <v>1913</v>
      </c>
      <c r="B275" s="28" t="s">
        <v>360</v>
      </c>
      <c r="C275" s="5" t="s">
        <v>1363</v>
      </c>
      <c r="D275" s="4" t="s">
        <v>1918</v>
      </c>
      <c r="E275" s="5" t="s">
        <v>1914</v>
      </c>
      <c r="F275" s="4" t="s">
        <v>1917</v>
      </c>
      <c r="G275" s="6"/>
      <c r="H275" s="110">
        <f>2.7*2.7</f>
        <v>7.2900000000000009</v>
      </c>
      <c r="I275" s="32"/>
      <c r="J275" s="32">
        <f>(2.7+2.7+2.7)*2*2</f>
        <v>32.400000000000006</v>
      </c>
      <c r="K275" s="9">
        <v>1</v>
      </c>
      <c r="L275" s="10">
        <v>0.75</v>
      </c>
      <c r="M275" s="6" t="s">
        <v>1916</v>
      </c>
      <c r="N275" s="6" t="s">
        <v>1915</v>
      </c>
      <c r="O275" s="6" t="s">
        <v>1915</v>
      </c>
      <c r="P275" s="27" t="s">
        <v>6</v>
      </c>
      <c r="Q275" s="11">
        <v>1</v>
      </c>
      <c r="R275" s="4" t="s">
        <v>1919</v>
      </c>
      <c r="S275" s="9">
        <f t="shared" ref="S275" si="115">T275+V275</f>
        <v>0</v>
      </c>
      <c r="T275" s="9">
        <v>0</v>
      </c>
      <c r="U275" s="6" t="s">
        <v>141</v>
      </c>
      <c r="V275" s="11">
        <v>0</v>
      </c>
      <c r="W275" s="6" t="s">
        <v>141</v>
      </c>
      <c r="X275" s="82"/>
      <c r="Y275" s="6" t="s">
        <v>1915</v>
      </c>
    </row>
    <row r="276" spans="1:37" ht="113.25" customHeight="1" x14ac:dyDescent="0.25">
      <c r="A276" s="71" t="s">
        <v>1924</v>
      </c>
      <c r="B276" s="28" t="s">
        <v>360</v>
      </c>
      <c r="C276" s="5" t="s">
        <v>1363</v>
      </c>
      <c r="D276" s="4" t="s">
        <v>1926</v>
      </c>
      <c r="E276" s="5" t="s">
        <v>1928</v>
      </c>
      <c r="F276" s="4" t="s">
        <v>1927</v>
      </c>
      <c r="G276" s="6"/>
      <c r="H276" s="110">
        <f>3*6</f>
        <v>18</v>
      </c>
      <c r="I276" s="32"/>
      <c r="J276" s="32">
        <f>(3+6+3)*2*2</f>
        <v>48</v>
      </c>
      <c r="K276" s="9">
        <v>4</v>
      </c>
      <c r="L276" s="10">
        <v>3</v>
      </c>
      <c r="M276" s="111" t="s">
        <v>2203</v>
      </c>
      <c r="N276" s="6" t="s">
        <v>1929</v>
      </c>
      <c r="O276" s="6" t="s">
        <v>1929</v>
      </c>
      <c r="P276" s="27" t="s">
        <v>6</v>
      </c>
      <c r="Q276" s="11">
        <v>1</v>
      </c>
      <c r="R276" s="4" t="s">
        <v>1925</v>
      </c>
      <c r="S276" s="9">
        <f t="shared" ref="S276" si="116">T276+V276</f>
        <v>0</v>
      </c>
      <c r="T276" s="9">
        <v>0</v>
      </c>
      <c r="U276" s="6" t="s">
        <v>141</v>
      </c>
      <c r="V276" s="11">
        <v>0</v>
      </c>
      <c r="W276" s="6" t="s">
        <v>141</v>
      </c>
      <c r="X276" s="82"/>
      <c r="Y276" s="6" t="s">
        <v>1929</v>
      </c>
    </row>
    <row r="277" spans="1:37" ht="113.25" customHeight="1" x14ac:dyDescent="0.25">
      <c r="A277" s="71" t="s">
        <v>1958</v>
      </c>
      <c r="B277" s="28" t="s">
        <v>357</v>
      </c>
      <c r="C277" s="5" t="s">
        <v>1363</v>
      </c>
      <c r="D277" s="4" t="s">
        <v>1959</v>
      </c>
      <c r="E277" s="5" t="s">
        <v>1960</v>
      </c>
      <c r="F277" s="4" t="s">
        <v>1961</v>
      </c>
      <c r="G277" s="6"/>
      <c r="H277" s="110">
        <f>3*5</f>
        <v>15</v>
      </c>
      <c r="I277" s="32"/>
      <c r="J277" s="32">
        <f>(3+5+3)*2*2</f>
        <v>44</v>
      </c>
      <c r="K277" s="9">
        <v>3</v>
      </c>
      <c r="L277" s="10">
        <v>3.3</v>
      </c>
      <c r="M277" s="111" t="s">
        <v>1963</v>
      </c>
      <c r="N277" s="6" t="s">
        <v>1962</v>
      </c>
      <c r="O277" s="4" t="s">
        <v>1974</v>
      </c>
      <c r="P277" s="27" t="s">
        <v>6</v>
      </c>
      <c r="Q277" s="11">
        <v>134</v>
      </c>
      <c r="R277" s="4" t="s">
        <v>1964</v>
      </c>
      <c r="S277" s="9">
        <f t="shared" ref="S277" si="117">T277+V277</f>
        <v>0</v>
      </c>
      <c r="T277" s="9">
        <v>0</v>
      </c>
      <c r="U277" s="6" t="s">
        <v>141</v>
      </c>
      <c r="V277" s="11">
        <v>0</v>
      </c>
      <c r="W277" s="6" t="s">
        <v>141</v>
      </c>
      <c r="X277" s="82"/>
      <c r="Y277" s="6" t="s">
        <v>1963</v>
      </c>
    </row>
    <row r="278" spans="1:37" ht="113.25" customHeight="1" x14ac:dyDescent="0.25">
      <c r="A278" s="71" t="s">
        <v>2091</v>
      </c>
      <c r="B278" s="28" t="s">
        <v>356</v>
      </c>
      <c r="C278" s="5" t="s">
        <v>1363</v>
      </c>
      <c r="D278" s="4" t="s">
        <v>2092</v>
      </c>
      <c r="E278" s="5" t="s">
        <v>2093</v>
      </c>
      <c r="F278" s="4" t="s">
        <v>2094</v>
      </c>
      <c r="G278" s="6"/>
      <c r="H278" s="110"/>
      <c r="I278" s="32"/>
      <c r="J278" s="32"/>
      <c r="K278" s="9">
        <v>2</v>
      </c>
      <c r="L278" s="10">
        <v>2.2000000000000002</v>
      </c>
      <c r="M278" s="112" t="s">
        <v>2095</v>
      </c>
      <c r="N278" s="6" t="s">
        <v>2096</v>
      </c>
      <c r="O278" s="4" t="s">
        <v>1974</v>
      </c>
      <c r="P278" s="27" t="s">
        <v>6</v>
      </c>
      <c r="Q278" s="11">
        <v>70</v>
      </c>
      <c r="R278" s="4" t="s">
        <v>2097</v>
      </c>
      <c r="S278" s="9">
        <f t="shared" ref="S278" si="118">T278+V278</f>
        <v>0</v>
      </c>
      <c r="T278" s="9">
        <v>0</v>
      </c>
      <c r="U278" s="6" t="s">
        <v>141</v>
      </c>
      <c r="V278" s="11">
        <v>0</v>
      </c>
      <c r="W278" s="6" t="s">
        <v>141</v>
      </c>
      <c r="X278" s="82"/>
      <c r="Y278" s="6" t="s">
        <v>2095</v>
      </c>
    </row>
    <row r="279" spans="1:37" ht="113.25" customHeight="1" x14ac:dyDescent="0.25">
      <c r="A279" s="71" t="s">
        <v>2111</v>
      </c>
      <c r="B279" s="28" t="s">
        <v>357</v>
      </c>
      <c r="C279" s="5" t="s">
        <v>1363</v>
      </c>
      <c r="D279" s="4" t="s">
        <v>2114</v>
      </c>
      <c r="E279" s="5" t="s">
        <v>2115</v>
      </c>
      <c r="F279" s="4" t="s">
        <v>2124</v>
      </c>
      <c r="G279" s="6"/>
      <c r="H279" s="110"/>
      <c r="I279" s="32"/>
      <c r="J279" s="32"/>
      <c r="K279" s="9">
        <v>1</v>
      </c>
      <c r="L279" s="10">
        <v>1.1000000000000001</v>
      </c>
      <c r="M279" s="112" t="s">
        <v>2113</v>
      </c>
      <c r="N279" s="6" t="s">
        <v>2113</v>
      </c>
      <c r="O279" s="4" t="s">
        <v>2113</v>
      </c>
      <c r="P279" s="27" t="s">
        <v>6</v>
      </c>
      <c r="Q279" s="11">
        <v>1</v>
      </c>
      <c r="R279" s="4" t="s">
        <v>2112</v>
      </c>
      <c r="S279" s="9">
        <f t="shared" ref="S279" si="119">T279+V279</f>
        <v>0</v>
      </c>
      <c r="T279" s="9">
        <v>0</v>
      </c>
      <c r="U279" s="6" t="s">
        <v>141</v>
      </c>
      <c r="V279" s="11">
        <v>0</v>
      </c>
      <c r="W279" s="6" t="s">
        <v>141</v>
      </c>
      <c r="X279" s="82"/>
      <c r="Y279" s="6" t="s">
        <v>2113</v>
      </c>
    </row>
    <row r="280" spans="1:37" ht="113.25" customHeight="1" x14ac:dyDescent="0.25">
      <c r="A280" s="71" t="s">
        <v>2136</v>
      </c>
      <c r="B280" s="28" t="s">
        <v>2137</v>
      </c>
      <c r="C280" s="5" t="s">
        <v>1363</v>
      </c>
      <c r="D280" s="4" t="s">
        <v>2138</v>
      </c>
      <c r="E280" s="5" t="s">
        <v>2139</v>
      </c>
      <c r="F280" s="4" t="s">
        <v>2140</v>
      </c>
      <c r="G280" s="6"/>
      <c r="H280" s="110"/>
      <c r="I280" s="32"/>
      <c r="J280" s="32"/>
      <c r="K280" s="9">
        <v>1</v>
      </c>
      <c r="L280" s="10">
        <v>0.75</v>
      </c>
      <c r="M280" s="112" t="s">
        <v>2141</v>
      </c>
      <c r="N280" s="6" t="s">
        <v>2141</v>
      </c>
      <c r="O280" s="4" t="s">
        <v>2141</v>
      </c>
      <c r="P280" s="27" t="s">
        <v>6</v>
      </c>
      <c r="Q280" s="11">
        <v>1</v>
      </c>
      <c r="R280" s="4" t="s">
        <v>2142</v>
      </c>
      <c r="S280" s="9">
        <f t="shared" ref="S280" si="120">T280+V280</f>
        <v>0</v>
      </c>
      <c r="T280" s="9">
        <v>0</v>
      </c>
      <c r="U280" s="6" t="s">
        <v>141</v>
      </c>
      <c r="V280" s="11">
        <v>0</v>
      </c>
      <c r="W280" s="6" t="s">
        <v>141</v>
      </c>
      <c r="X280" s="82"/>
      <c r="Y280" s="6" t="s">
        <v>2141</v>
      </c>
    </row>
    <row r="281" spans="1:37" ht="113.25" customHeight="1" x14ac:dyDescent="0.25">
      <c r="A281" s="71" t="s">
        <v>2143</v>
      </c>
      <c r="B281" s="28" t="s">
        <v>2137</v>
      </c>
      <c r="C281" s="5" t="s">
        <v>1363</v>
      </c>
      <c r="D281" s="4" t="s">
        <v>2144</v>
      </c>
      <c r="E281" s="5" t="s">
        <v>2145</v>
      </c>
      <c r="F281" s="4" t="s">
        <v>2146</v>
      </c>
      <c r="G281" s="6"/>
      <c r="H281" s="110"/>
      <c r="I281" s="32"/>
      <c r="J281" s="32"/>
      <c r="K281" s="9">
        <v>1</v>
      </c>
      <c r="L281" s="10">
        <v>1.1000000000000001</v>
      </c>
      <c r="M281" s="112" t="s">
        <v>2147</v>
      </c>
      <c r="N281" s="6" t="s">
        <v>2148</v>
      </c>
      <c r="O281" s="4" t="s">
        <v>2148</v>
      </c>
      <c r="P281" s="27" t="s">
        <v>6</v>
      </c>
      <c r="Q281" s="11">
        <v>1</v>
      </c>
      <c r="R281" s="4" t="s">
        <v>2149</v>
      </c>
      <c r="S281" s="9">
        <f t="shared" ref="S281" si="121">T281+V281</f>
        <v>0</v>
      </c>
      <c r="T281" s="9">
        <v>0</v>
      </c>
      <c r="U281" s="6" t="s">
        <v>141</v>
      </c>
      <c r="V281" s="11">
        <v>0</v>
      </c>
      <c r="W281" s="6" t="s">
        <v>141</v>
      </c>
      <c r="X281" s="82"/>
      <c r="Y281" s="6" t="s">
        <v>2148</v>
      </c>
    </row>
    <row r="282" spans="1:37" ht="113.25" customHeight="1" x14ac:dyDescent="0.25">
      <c r="A282" s="71" t="s">
        <v>2151</v>
      </c>
      <c r="B282" s="28" t="s">
        <v>357</v>
      </c>
      <c r="C282" s="5" t="s">
        <v>1363</v>
      </c>
      <c r="D282" s="4" t="s">
        <v>2152</v>
      </c>
      <c r="E282" s="5" t="s">
        <v>2153</v>
      </c>
      <c r="F282" s="4" t="s">
        <v>2156</v>
      </c>
      <c r="G282" s="6"/>
      <c r="H282" s="110"/>
      <c r="I282" s="32"/>
      <c r="J282" s="32"/>
      <c r="K282" s="9">
        <v>2</v>
      </c>
      <c r="L282" s="10">
        <v>2.2000000000000002</v>
      </c>
      <c r="M282" s="112" t="s">
        <v>2154</v>
      </c>
      <c r="N282" s="6" t="s">
        <v>2154</v>
      </c>
      <c r="O282" s="4" t="s">
        <v>2154</v>
      </c>
      <c r="P282" s="27" t="s">
        <v>6</v>
      </c>
      <c r="Q282" s="11">
        <v>1</v>
      </c>
      <c r="R282" s="4" t="s">
        <v>2155</v>
      </c>
      <c r="S282" s="9">
        <f t="shared" ref="S282" si="122">T282+V282</f>
        <v>0</v>
      </c>
      <c r="T282" s="9">
        <v>0</v>
      </c>
      <c r="U282" s="6" t="s">
        <v>141</v>
      </c>
      <c r="V282" s="11">
        <v>0</v>
      </c>
      <c r="W282" s="6" t="s">
        <v>141</v>
      </c>
      <c r="X282" s="82"/>
      <c r="Y282" s="6" t="s">
        <v>2154</v>
      </c>
    </row>
    <row r="283" spans="1:37" x14ac:dyDescent="0.25">
      <c r="A283" s="122" t="s">
        <v>2204</v>
      </c>
      <c r="B283" s="123"/>
      <c r="C283" s="123"/>
      <c r="D283" s="123"/>
      <c r="E283" s="123"/>
      <c r="F283" s="123"/>
      <c r="G283" s="123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123"/>
      <c r="U283" s="123"/>
      <c r="V283" s="123"/>
      <c r="W283" s="124"/>
      <c r="X283" s="82"/>
      <c r="Y283" s="5"/>
    </row>
    <row r="284" spans="1:37" ht="110.25" x14ac:dyDescent="0.35">
      <c r="A284" s="71" t="s">
        <v>1146</v>
      </c>
      <c r="B284" s="28" t="s">
        <v>356</v>
      </c>
      <c r="C284" s="5" t="s">
        <v>1413</v>
      </c>
      <c r="D284" s="5" t="s">
        <v>1147</v>
      </c>
      <c r="E284" s="5" t="s">
        <v>119</v>
      </c>
      <c r="F284" s="4" t="s">
        <v>1402</v>
      </c>
      <c r="G284" s="6"/>
      <c r="H284" s="32"/>
      <c r="I284" s="32"/>
      <c r="J284" s="32"/>
      <c r="K284" s="9">
        <v>1</v>
      </c>
      <c r="L284" s="10">
        <v>1.1000000000000001</v>
      </c>
      <c r="M284" s="6" t="s">
        <v>494</v>
      </c>
      <c r="N284" s="6" t="s">
        <v>494</v>
      </c>
      <c r="O284" s="5"/>
      <c r="P284" s="6"/>
      <c r="Q284" s="12" t="s">
        <v>141</v>
      </c>
      <c r="R284" s="6" t="s">
        <v>141</v>
      </c>
      <c r="S284" s="9">
        <f t="shared" ref="S284" si="123">T284+V284</f>
        <v>17</v>
      </c>
      <c r="T284" s="9">
        <v>0</v>
      </c>
      <c r="U284" s="5" t="s">
        <v>141</v>
      </c>
      <c r="V284" s="9">
        <v>17</v>
      </c>
      <c r="W284" s="5" t="s">
        <v>1148</v>
      </c>
      <c r="X284" s="38">
        <v>12</v>
      </c>
      <c r="Y284" s="5"/>
      <c r="AF284" s="97">
        <v>1.1299999999999999</v>
      </c>
      <c r="AG284" s="98">
        <f>X284*AF284</f>
        <v>13.559999999999999</v>
      </c>
      <c r="AH284" s="98">
        <f>AG284/12</f>
        <v>1.1299999999999999</v>
      </c>
      <c r="AI284" s="98">
        <f>AH284/30</f>
        <v>3.7666666666666661E-2</v>
      </c>
      <c r="AJ284" s="97">
        <v>1.25</v>
      </c>
      <c r="AK284" s="37">
        <f>ROUND(AI284*AJ284,0)</f>
        <v>0</v>
      </c>
    </row>
    <row r="285" spans="1:37" ht="110.25" x14ac:dyDescent="0.35">
      <c r="A285" s="71" t="s">
        <v>1149</v>
      </c>
      <c r="B285" s="28" t="s">
        <v>356</v>
      </c>
      <c r="C285" s="5" t="s">
        <v>1413</v>
      </c>
      <c r="D285" s="5" t="s">
        <v>1183</v>
      </c>
      <c r="E285" s="5" t="s">
        <v>119</v>
      </c>
      <c r="F285" s="4" t="s">
        <v>1402</v>
      </c>
      <c r="G285" s="6"/>
      <c r="H285" s="32"/>
      <c r="I285" s="32"/>
      <c r="J285" s="32"/>
      <c r="K285" s="9">
        <v>1</v>
      </c>
      <c r="L285" s="10">
        <v>1.1000000000000001</v>
      </c>
      <c r="M285" s="6" t="s">
        <v>494</v>
      </c>
      <c r="N285" s="6" t="s">
        <v>494</v>
      </c>
      <c r="O285" s="5"/>
      <c r="P285" s="6"/>
      <c r="Q285" s="12" t="s">
        <v>141</v>
      </c>
      <c r="R285" s="6" t="s">
        <v>141</v>
      </c>
      <c r="S285" s="9">
        <f t="shared" ref="S285:S317" si="124">T285+V285</f>
        <v>33</v>
      </c>
      <c r="T285" s="9">
        <v>0</v>
      </c>
      <c r="U285" s="5" t="s">
        <v>141</v>
      </c>
      <c r="V285" s="9">
        <v>33</v>
      </c>
      <c r="W285" s="5" t="s">
        <v>1182</v>
      </c>
      <c r="X285" s="38">
        <v>14</v>
      </c>
      <c r="Y285" s="5"/>
      <c r="AF285" s="97">
        <v>1.1299999999999999</v>
      </c>
      <c r="AG285" s="98">
        <f>X285*AF285</f>
        <v>15.819999999999999</v>
      </c>
      <c r="AH285" s="98">
        <f>AG285/12</f>
        <v>1.3183333333333331</v>
      </c>
      <c r="AI285" s="98">
        <f>AH285/30</f>
        <v>4.3944444444444439E-2</v>
      </c>
      <c r="AJ285" s="97">
        <v>1.25</v>
      </c>
      <c r="AK285" s="37">
        <f>ROUND(AI285*AJ285,0)</f>
        <v>0</v>
      </c>
    </row>
    <row r="286" spans="1:37" ht="110.25" x14ac:dyDescent="0.35">
      <c r="A286" s="71" t="s">
        <v>1150</v>
      </c>
      <c r="B286" s="28" t="s">
        <v>356</v>
      </c>
      <c r="C286" s="5" t="s">
        <v>1413</v>
      </c>
      <c r="D286" s="5" t="s">
        <v>1184</v>
      </c>
      <c r="E286" s="5" t="s">
        <v>119</v>
      </c>
      <c r="F286" s="4" t="s">
        <v>1402</v>
      </c>
      <c r="G286" s="6"/>
      <c r="H286" s="32"/>
      <c r="I286" s="32"/>
      <c r="J286" s="32"/>
      <c r="K286" s="9">
        <v>1</v>
      </c>
      <c r="L286" s="10">
        <v>1.1000000000000001</v>
      </c>
      <c r="M286" s="6" t="s">
        <v>494</v>
      </c>
      <c r="N286" s="6" t="s">
        <v>494</v>
      </c>
      <c r="O286" s="5"/>
      <c r="P286" s="6"/>
      <c r="Q286" s="12" t="s">
        <v>141</v>
      </c>
      <c r="R286" s="6" t="s">
        <v>141</v>
      </c>
      <c r="S286" s="9">
        <f t="shared" si="124"/>
        <v>23</v>
      </c>
      <c r="T286" s="9">
        <v>0</v>
      </c>
      <c r="U286" s="5" t="s">
        <v>141</v>
      </c>
      <c r="V286" s="9">
        <v>23</v>
      </c>
      <c r="W286" s="5" t="s">
        <v>1185</v>
      </c>
      <c r="X286" s="38">
        <v>9</v>
      </c>
      <c r="Y286" s="5"/>
      <c r="AF286" s="97">
        <v>1.1299999999999999</v>
      </c>
      <c r="AG286" s="98">
        <f>X286*AF286</f>
        <v>10.169999999999998</v>
      </c>
      <c r="AH286" s="98">
        <f>AG286/12</f>
        <v>0.84749999999999981</v>
      </c>
      <c r="AI286" s="98">
        <f>AH286/30</f>
        <v>2.8249999999999994E-2</v>
      </c>
      <c r="AJ286" s="97">
        <v>1.25</v>
      </c>
      <c r="AK286" s="37">
        <f t="shared" ref="AK286:AK306" si="125">ROUND(AI286*AJ286,0)</f>
        <v>0</v>
      </c>
    </row>
    <row r="287" spans="1:37" x14ac:dyDescent="0.35">
      <c r="A287" s="71" t="s">
        <v>1151</v>
      </c>
      <c r="B287" s="28" t="s">
        <v>356</v>
      </c>
      <c r="C287" s="5" t="s">
        <v>1588</v>
      </c>
      <c r="D287" s="5" t="s">
        <v>1188</v>
      </c>
      <c r="E287" s="5" t="s">
        <v>119</v>
      </c>
      <c r="F287" s="6" t="s">
        <v>141</v>
      </c>
      <c r="G287" s="6"/>
      <c r="H287" s="32"/>
      <c r="I287" s="32"/>
      <c r="J287" s="32"/>
      <c r="K287" s="6" t="s">
        <v>141</v>
      </c>
      <c r="L287" s="6" t="s">
        <v>141</v>
      </c>
      <c r="M287" s="6" t="s">
        <v>141</v>
      </c>
      <c r="N287" s="6" t="s">
        <v>141</v>
      </c>
      <c r="O287" s="33"/>
      <c r="P287" s="34"/>
      <c r="Q287" s="6" t="s">
        <v>141</v>
      </c>
      <c r="R287" s="6" t="s">
        <v>141</v>
      </c>
      <c r="S287" s="6" t="s">
        <v>141</v>
      </c>
      <c r="T287" s="6" t="s">
        <v>141</v>
      </c>
      <c r="U287" s="6" t="s">
        <v>141</v>
      </c>
      <c r="V287" s="6" t="s">
        <v>141</v>
      </c>
      <c r="W287" s="6" t="s">
        <v>141</v>
      </c>
      <c r="X287" s="38">
        <v>12</v>
      </c>
      <c r="Y287" s="5"/>
      <c r="AF287" s="97">
        <v>1.1299999999999999</v>
      </c>
      <c r="AG287" s="98">
        <f>X287*AF287</f>
        <v>13.559999999999999</v>
      </c>
      <c r="AH287" s="98">
        <f>AG287/12</f>
        <v>1.1299999999999999</v>
      </c>
      <c r="AI287" s="98">
        <f>AH287/30</f>
        <v>3.7666666666666661E-2</v>
      </c>
      <c r="AJ287" s="97">
        <v>1.25</v>
      </c>
      <c r="AK287" s="37">
        <f t="shared" si="125"/>
        <v>0</v>
      </c>
    </row>
    <row r="288" spans="1:37" x14ac:dyDescent="0.35">
      <c r="A288" s="71" t="s">
        <v>1152</v>
      </c>
      <c r="B288" s="28" t="s">
        <v>356</v>
      </c>
      <c r="C288" s="5" t="s">
        <v>1588</v>
      </c>
      <c r="D288" s="5" t="s">
        <v>1190</v>
      </c>
      <c r="E288" s="5" t="s">
        <v>119</v>
      </c>
      <c r="F288" s="6" t="s">
        <v>141</v>
      </c>
      <c r="G288" s="6"/>
      <c r="H288" s="32"/>
      <c r="I288" s="32"/>
      <c r="J288" s="32"/>
      <c r="K288" s="6" t="s">
        <v>141</v>
      </c>
      <c r="L288" s="6" t="s">
        <v>141</v>
      </c>
      <c r="M288" s="6" t="s">
        <v>141</v>
      </c>
      <c r="N288" s="6" t="s">
        <v>141</v>
      </c>
      <c r="O288" s="33"/>
      <c r="P288" s="34"/>
      <c r="Q288" s="6" t="s">
        <v>141</v>
      </c>
      <c r="R288" s="6" t="s">
        <v>141</v>
      </c>
      <c r="S288" s="6" t="s">
        <v>141</v>
      </c>
      <c r="T288" s="6" t="s">
        <v>141</v>
      </c>
      <c r="U288" s="6" t="s">
        <v>141</v>
      </c>
      <c r="V288" s="6" t="s">
        <v>141</v>
      </c>
      <c r="W288" s="6" t="s">
        <v>141</v>
      </c>
      <c r="X288" s="38">
        <v>12</v>
      </c>
      <c r="Y288" s="5"/>
      <c r="AF288" s="97">
        <v>1.1299999999999999</v>
      </c>
      <c r="AG288" s="98">
        <f t="shared" ref="AG288:AG306" si="126">X288*AF288</f>
        <v>13.559999999999999</v>
      </c>
      <c r="AH288" s="98">
        <f t="shared" ref="AH288:AH331" si="127">AG288/12</f>
        <v>1.1299999999999999</v>
      </c>
      <c r="AI288" s="98">
        <f t="shared" ref="AI288:AI331" si="128">AH288/30</f>
        <v>3.7666666666666661E-2</v>
      </c>
      <c r="AJ288" s="97">
        <v>1.25</v>
      </c>
      <c r="AK288" s="37">
        <f t="shared" si="125"/>
        <v>0</v>
      </c>
    </row>
    <row r="289" spans="1:37" ht="110.25" x14ac:dyDescent="0.35">
      <c r="A289" s="71" t="s">
        <v>1153</v>
      </c>
      <c r="B289" s="28" t="s">
        <v>356</v>
      </c>
      <c r="C289" s="5" t="s">
        <v>1413</v>
      </c>
      <c r="D289" s="5" t="s">
        <v>1191</v>
      </c>
      <c r="E289" s="5" t="s">
        <v>119</v>
      </c>
      <c r="F289" s="4" t="s">
        <v>1402</v>
      </c>
      <c r="G289" s="6"/>
      <c r="H289" s="32"/>
      <c r="I289" s="32"/>
      <c r="J289" s="32"/>
      <c r="K289" s="9">
        <v>1</v>
      </c>
      <c r="L289" s="10">
        <v>1.1000000000000001</v>
      </c>
      <c r="M289" s="6" t="s">
        <v>494</v>
      </c>
      <c r="N289" s="6" t="s">
        <v>494</v>
      </c>
      <c r="O289" s="5"/>
      <c r="P289" s="6"/>
      <c r="Q289" s="12" t="s">
        <v>141</v>
      </c>
      <c r="R289" s="6" t="s">
        <v>141</v>
      </c>
      <c r="S289" s="9">
        <f t="shared" si="124"/>
        <v>12</v>
      </c>
      <c r="T289" s="9">
        <v>0</v>
      </c>
      <c r="U289" s="5" t="s">
        <v>141</v>
      </c>
      <c r="V289" s="9">
        <v>12</v>
      </c>
      <c r="W289" s="5" t="s">
        <v>1192</v>
      </c>
      <c r="X289" s="38">
        <v>4</v>
      </c>
      <c r="Y289" s="5"/>
      <c r="AF289" s="97">
        <v>1.1299999999999999</v>
      </c>
      <c r="AG289" s="98">
        <f t="shared" si="126"/>
        <v>4.5199999999999996</v>
      </c>
      <c r="AH289" s="98">
        <f t="shared" si="127"/>
        <v>0.37666666666666665</v>
      </c>
      <c r="AI289" s="98">
        <f t="shared" si="128"/>
        <v>1.2555555555555554E-2</v>
      </c>
      <c r="AJ289" s="97">
        <v>1.25</v>
      </c>
      <c r="AK289" s="37">
        <f t="shared" si="125"/>
        <v>0</v>
      </c>
    </row>
    <row r="290" spans="1:37" ht="110.25" x14ac:dyDescent="0.35">
      <c r="A290" s="71" t="s">
        <v>1154</v>
      </c>
      <c r="B290" s="28" t="s">
        <v>356</v>
      </c>
      <c r="C290" s="5" t="s">
        <v>1413</v>
      </c>
      <c r="D290" s="5" t="s">
        <v>1193</v>
      </c>
      <c r="E290" s="5" t="s">
        <v>119</v>
      </c>
      <c r="F290" s="4" t="s">
        <v>1402</v>
      </c>
      <c r="G290" s="6"/>
      <c r="H290" s="32"/>
      <c r="I290" s="32"/>
      <c r="J290" s="32"/>
      <c r="K290" s="9">
        <v>1</v>
      </c>
      <c r="L290" s="10">
        <v>1.1000000000000001</v>
      </c>
      <c r="M290" s="6" t="s">
        <v>494</v>
      </c>
      <c r="N290" s="6" t="s">
        <v>494</v>
      </c>
      <c r="O290" s="5"/>
      <c r="P290" s="6"/>
      <c r="Q290" s="12" t="s">
        <v>141</v>
      </c>
      <c r="R290" s="6" t="s">
        <v>141</v>
      </c>
      <c r="S290" s="9">
        <f t="shared" si="124"/>
        <v>12</v>
      </c>
      <c r="T290" s="9">
        <v>0</v>
      </c>
      <c r="U290" s="5" t="s">
        <v>141</v>
      </c>
      <c r="V290" s="9">
        <v>12</v>
      </c>
      <c r="W290" s="5" t="s">
        <v>1192</v>
      </c>
      <c r="X290" s="38">
        <v>4</v>
      </c>
      <c r="Y290" s="5"/>
      <c r="AF290" s="97">
        <v>1.1299999999999999</v>
      </c>
      <c r="AG290" s="98">
        <f t="shared" si="126"/>
        <v>4.5199999999999996</v>
      </c>
      <c r="AH290" s="98">
        <f t="shared" si="127"/>
        <v>0.37666666666666665</v>
      </c>
      <c r="AI290" s="98">
        <f t="shared" si="128"/>
        <v>1.2555555555555554E-2</v>
      </c>
      <c r="AJ290" s="97">
        <v>1.25</v>
      </c>
      <c r="AK290" s="37">
        <f t="shared" si="125"/>
        <v>0</v>
      </c>
    </row>
    <row r="291" spans="1:37" ht="110.25" x14ac:dyDescent="0.35">
      <c r="A291" s="71" t="s">
        <v>1155</v>
      </c>
      <c r="B291" s="28" t="s">
        <v>356</v>
      </c>
      <c r="C291" s="5" t="s">
        <v>1413</v>
      </c>
      <c r="D291" s="5" t="s">
        <v>1225</v>
      </c>
      <c r="E291" s="5" t="s">
        <v>119</v>
      </c>
      <c r="F291" s="4" t="s">
        <v>1402</v>
      </c>
      <c r="G291" s="6"/>
      <c r="H291" s="32"/>
      <c r="I291" s="32"/>
      <c r="J291" s="32"/>
      <c r="K291" s="9">
        <v>1</v>
      </c>
      <c r="L291" s="10">
        <v>1.1000000000000001</v>
      </c>
      <c r="M291" s="6" t="s">
        <v>494</v>
      </c>
      <c r="N291" s="6" t="s">
        <v>494</v>
      </c>
      <c r="O291" s="5"/>
      <c r="P291" s="6"/>
      <c r="Q291" s="12" t="s">
        <v>141</v>
      </c>
      <c r="R291" s="6" t="s">
        <v>141</v>
      </c>
      <c r="S291" s="9">
        <f t="shared" si="124"/>
        <v>11</v>
      </c>
      <c r="T291" s="9">
        <v>0</v>
      </c>
      <c r="U291" s="5" t="s">
        <v>141</v>
      </c>
      <c r="V291" s="9">
        <v>11</v>
      </c>
      <c r="W291" s="5" t="s">
        <v>1226</v>
      </c>
      <c r="X291" s="38">
        <v>2</v>
      </c>
      <c r="Y291" s="5"/>
      <c r="AF291" s="97">
        <v>1.1299999999999999</v>
      </c>
      <c r="AG291" s="98">
        <f t="shared" si="126"/>
        <v>2.2599999999999998</v>
      </c>
      <c r="AH291" s="98">
        <f t="shared" si="127"/>
        <v>0.18833333333333332</v>
      </c>
      <c r="AI291" s="98">
        <f t="shared" si="128"/>
        <v>6.2777777777777771E-3</v>
      </c>
      <c r="AJ291" s="97">
        <v>1.25</v>
      </c>
      <c r="AK291" s="37">
        <f t="shared" si="125"/>
        <v>0</v>
      </c>
    </row>
    <row r="292" spans="1:37" ht="110.25" x14ac:dyDescent="0.35">
      <c r="A292" s="71" t="s">
        <v>1156</v>
      </c>
      <c r="B292" s="28" t="s">
        <v>356</v>
      </c>
      <c r="C292" s="5" t="s">
        <v>1413</v>
      </c>
      <c r="D292" s="5" t="s">
        <v>1227</v>
      </c>
      <c r="E292" s="5" t="s">
        <v>119</v>
      </c>
      <c r="F292" s="4" t="s">
        <v>1402</v>
      </c>
      <c r="G292" s="6"/>
      <c r="H292" s="32"/>
      <c r="I292" s="32"/>
      <c r="J292" s="32"/>
      <c r="K292" s="9">
        <v>1</v>
      </c>
      <c r="L292" s="10">
        <v>1.1000000000000001</v>
      </c>
      <c r="M292" s="6" t="s">
        <v>494</v>
      </c>
      <c r="N292" s="6" t="s">
        <v>494</v>
      </c>
      <c r="O292" s="5"/>
      <c r="P292" s="6"/>
      <c r="Q292" s="12" t="s">
        <v>141</v>
      </c>
      <c r="R292" s="6" t="s">
        <v>141</v>
      </c>
      <c r="S292" s="9">
        <f t="shared" si="124"/>
        <v>4</v>
      </c>
      <c r="T292" s="9">
        <v>0</v>
      </c>
      <c r="U292" s="5" t="s">
        <v>141</v>
      </c>
      <c r="V292" s="9">
        <v>4</v>
      </c>
      <c r="W292" s="5" t="s">
        <v>1228</v>
      </c>
      <c r="X292" s="38">
        <v>7</v>
      </c>
      <c r="Y292" s="5"/>
      <c r="AF292" s="97">
        <v>1.1299999999999999</v>
      </c>
      <c r="AG292" s="98">
        <f t="shared" si="126"/>
        <v>7.9099999999999993</v>
      </c>
      <c r="AH292" s="98">
        <f t="shared" si="127"/>
        <v>0.65916666666666657</v>
      </c>
      <c r="AI292" s="98">
        <f t="shared" si="128"/>
        <v>2.1972222222222219E-2</v>
      </c>
      <c r="AJ292" s="97">
        <v>1.25</v>
      </c>
      <c r="AK292" s="37">
        <f t="shared" si="125"/>
        <v>0</v>
      </c>
    </row>
    <row r="293" spans="1:37" ht="110.25" x14ac:dyDescent="0.35">
      <c r="A293" s="71" t="s">
        <v>1157</v>
      </c>
      <c r="B293" s="28" t="s">
        <v>356</v>
      </c>
      <c r="C293" s="5" t="s">
        <v>1413</v>
      </c>
      <c r="D293" s="5" t="s">
        <v>1565</v>
      </c>
      <c r="E293" s="5" t="s">
        <v>119</v>
      </c>
      <c r="F293" s="4" t="s">
        <v>1560</v>
      </c>
      <c r="G293" s="12"/>
      <c r="H293" s="35">
        <f>8*4</f>
        <v>32</v>
      </c>
      <c r="I293" s="35">
        <f>12*8-H293</f>
        <v>64</v>
      </c>
      <c r="J293" s="35">
        <f>(2+8+2+2)*2*2</f>
        <v>56</v>
      </c>
      <c r="K293" s="9">
        <v>4</v>
      </c>
      <c r="L293" s="10">
        <v>4.4000000000000004</v>
      </c>
      <c r="M293" s="6" t="s">
        <v>494</v>
      </c>
      <c r="N293" s="6" t="s">
        <v>494</v>
      </c>
      <c r="O293" s="5"/>
      <c r="P293" s="6"/>
      <c r="Q293" s="12" t="s">
        <v>141</v>
      </c>
      <c r="R293" s="6" t="s">
        <v>141</v>
      </c>
      <c r="S293" s="9">
        <f t="shared" si="124"/>
        <v>13</v>
      </c>
      <c r="T293" s="9">
        <v>0</v>
      </c>
      <c r="U293" s="5" t="s">
        <v>141</v>
      </c>
      <c r="V293" s="9">
        <v>13</v>
      </c>
      <c r="W293" s="5" t="s">
        <v>1229</v>
      </c>
      <c r="X293" s="38">
        <v>65</v>
      </c>
      <c r="Y293" s="5"/>
      <c r="Z293" s="45" t="s">
        <v>425</v>
      </c>
      <c r="AF293" s="97">
        <v>1.1299999999999999</v>
      </c>
      <c r="AG293" s="98">
        <f t="shared" si="126"/>
        <v>73.449999999999989</v>
      </c>
      <c r="AH293" s="98">
        <f t="shared" si="127"/>
        <v>6.1208333333333327</v>
      </c>
      <c r="AI293" s="98">
        <f t="shared" si="128"/>
        <v>0.20402777777777775</v>
      </c>
      <c r="AJ293" s="97">
        <v>1.25</v>
      </c>
      <c r="AK293" s="37">
        <f t="shared" si="125"/>
        <v>0</v>
      </c>
    </row>
    <row r="294" spans="1:37" ht="110.25" x14ac:dyDescent="0.35">
      <c r="A294" s="71" t="s">
        <v>1158</v>
      </c>
      <c r="B294" s="28" t="s">
        <v>356</v>
      </c>
      <c r="C294" s="5" t="s">
        <v>1413</v>
      </c>
      <c r="D294" s="5" t="s">
        <v>1230</v>
      </c>
      <c r="E294" s="5" t="s">
        <v>119</v>
      </c>
      <c r="F294" s="4" t="s">
        <v>1402</v>
      </c>
      <c r="G294" s="6"/>
      <c r="H294" s="32"/>
      <c r="I294" s="32"/>
      <c r="J294" s="32"/>
      <c r="K294" s="9">
        <v>1</v>
      </c>
      <c r="L294" s="10">
        <v>1.1000000000000001</v>
      </c>
      <c r="M294" s="6" t="s">
        <v>494</v>
      </c>
      <c r="N294" s="6" t="s">
        <v>494</v>
      </c>
      <c r="O294" s="5"/>
      <c r="P294" s="6"/>
      <c r="Q294" s="12" t="s">
        <v>141</v>
      </c>
      <c r="R294" s="6" t="s">
        <v>141</v>
      </c>
      <c r="S294" s="9">
        <f t="shared" si="124"/>
        <v>7</v>
      </c>
      <c r="T294" s="9">
        <v>0</v>
      </c>
      <c r="U294" s="5" t="s">
        <v>141</v>
      </c>
      <c r="V294" s="9">
        <v>7</v>
      </c>
      <c r="W294" s="5" t="s">
        <v>1231</v>
      </c>
      <c r="X294" s="38">
        <v>1</v>
      </c>
      <c r="Y294" s="5"/>
      <c r="AF294" s="97">
        <v>1.1299999999999999</v>
      </c>
      <c r="AG294" s="98">
        <f t="shared" si="126"/>
        <v>1.1299999999999999</v>
      </c>
      <c r="AH294" s="98">
        <f t="shared" si="127"/>
        <v>9.4166666666666662E-2</v>
      </c>
      <c r="AI294" s="98">
        <f t="shared" si="128"/>
        <v>3.1388888888888885E-3</v>
      </c>
      <c r="AJ294" s="97">
        <v>1.25</v>
      </c>
      <c r="AK294" s="37">
        <f t="shared" si="125"/>
        <v>0</v>
      </c>
    </row>
    <row r="295" spans="1:37" ht="110.25" x14ac:dyDescent="0.35">
      <c r="A295" s="71" t="s">
        <v>1159</v>
      </c>
      <c r="B295" s="28" t="s">
        <v>356</v>
      </c>
      <c r="C295" s="5" t="s">
        <v>1413</v>
      </c>
      <c r="D295" s="5" t="s">
        <v>1232</v>
      </c>
      <c r="E295" s="5" t="s">
        <v>119</v>
      </c>
      <c r="F295" s="4" t="s">
        <v>1560</v>
      </c>
      <c r="G295" s="12"/>
      <c r="H295" s="35">
        <f>8*4</f>
        <v>32</v>
      </c>
      <c r="I295" s="35">
        <f>12*8-H295</f>
        <v>64</v>
      </c>
      <c r="J295" s="35">
        <f>(2+8+2+2)*2*2</f>
        <v>56</v>
      </c>
      <c r="K295" s="9">
        <v>3</v>
      </c>
      <c r="L295" s="10">
        <v>3.3</v>
      </c>
      <c r="M295" s="6" t="s">
        <v>494</v>
      </c>
      <c r="N295" s="6" t="s">
        <v>494</v>
      </c>
      <c r="O295" s="5"/>
      <c r="P295" s="6"/>
      <c r="Q295" s="12" t="s">
        <v>141</v>
      </c>
      <c r="R295" s="6" t="s">
        <v>141</v>
      </c>
      <c r="S295" s="9">
        <f t="shared" si="124"/>
        <v>29</v>
      </c>
      <c r="T295" s="9">
        <v>0</v>
      </c>
      <c r="U295" s="5" t="s">
        <v>141</v>
      </c>
      <c r="V295" s="9">
        <v>29</v>
      </c>
      <c r="W295" s="5" t="s">
        <v>1233</v>
      </c>
      <c r="X295" s="38">
        <v>37</v>
      </c>
      <c r="Y295" s="5"/>
      <c r="Z295" s="45" t="s">
        <v>425</v>
      </c>
      <c r="AF295" s="97">
        <v>1.1299999999999999</v>
      </c>
      <c r="AG295" s="98">
        <f t="shared" si="126"/>
        <v>41.809999999999995</v>
      </c>
      <c r="AH295" s="98">
        <f t="shared" si="127"/>
        <v>3.4841666666666664</v>
      </c>
      <c r="AI295" s="98">
        <f t="shared" si="128"/>
        <v>0.11613888888888887</v>
      </c>
      <c r="AJ295" s="97">
        <v>1.25</v>
      </c>
      <c r="AK295" s="37">
        <f t="shared" si="125"/>
        <v>0</v>
      </c>
    </row>
    <row r="296" spans="1:37" ht="110.25" x14ac:dyDescent="0.35">
      <c r="A296" s="71" t="s">
        <v>1160</v>
      </c>
      <c r="B296" s="28" t="s">
        <v>356</v>
      </c>
      <c r="C296" s="5" t="s">
        <v>1413</v>
      </c>
      <c r="D296" s="5" t="s">
        <v>1234</v>
      </c>
      <c r="E296" s="5" t="s">
        <v>119</v>
      </c>
      <c r="F296" s="4" t="s">
        <v>1402</v>
      </c>
      <c r="G296" s="6"/>
      <c r="H296" s="32"/>
      <c r="I296" s="32"/>
      <c r="J296" s="32"/>
      <c r="K296" s="9">
        <v>1</v>
      </c>
      <c r="L296" s="10">
        <v>1.1000000000000001</v>
      </c>
      <c r="M296" s="6" t="s">
        <v>494</v>
      </c>
      <c r="N296" s="6" t="s">
        <v>494</v>
      </c>
      <c r="O296" s="5"/>
      <c r="P296" s="6"/>
      <c r="Q296" s="12" t="s">
        <v>141</v>
      </c>
      <c r="R296" s="6" t="s">
        <v>141</v>
      </c>
      <c r="S296" s="9">
        <f t="shared" si="124"/>
        <v>8</v>
      </c>
      <c r="T296" s="9">
        <v>0</v>
      </c>
      <c r="U296" s="5" t="s">
        <v>141</v>
      </c>
      <c r="V296" s="9">
        <v>8</v>
      </c>
      <c r="W296" s="5" t="s">
        <v>1235</v>
      </c>
      <c r="X296" s="38">
        <v>10</v>
      </c>
      <c r="Y296" s="5"/>
      <c r="AF296" s="97">
        <v>1.1299999999999999</v>
      </c>
      <c r="AG296" s="98">
        <f t="shared" si="126"/>
        <v>11.299999999999999</v>
      </c>
      <c r="AH296" s="98">
        <f t="shared" si="127"/>
        <v>0.94166666666666654</v>
      </c>
      <c r="AI296" s="98">
        <f t="shared" si="128"/>
        <v>3.1388888888888883E-2</v>
      </c>
      <c r="AJ296" s="97">
        <v>1.25</v>
      </c>
      <c r="AK296" s="37">
        <f t="shared" si="125"/>
        <v>0</v>
      </c>
    </row>
    <row r="297" spans="1:37" ht="110.25" x14ac:dyDescent="0.35">
      <c r="A297" s="71" t="s">
        <v>1161</v>
      </c>
      <c r="B297" s="28" t="s">
        <v>356</v>
      </c>
      <c r="C297" s="5" t="s">
        <v>1413</v>
      </c>
      <c r="D297" s="5" t="s">
        <v>1245</v>
      </c>
      <c r="E297" s="5" t="s">
        <v>119</v>
      </c>
      <c r="F297" s="4" t="s">
        <v>1402</v>
      </c>
      <c r="G297" s="6"/>
      <c r="H297" s="32"/>
      <c r="I297" s="32"/>
      <c r="J297" s="32"/>
      <c r="K297" s="9">
        <v>1</v>
      </c>
      <c r="L297" s="10">
        <v>1.1000000000000001</v>
      </c>
      <c r="M297" s="6" t="s">
        <v>494</v>
      </c>
      <c r="N297" s="6" t="s">
        <v>494</v>
      </c>
      <c r="O297" s="5"/>
      <c r="P297" s="6"/>
      <c r="Q297" s="12" t="s">
        <v>141</v>
      </c>
      <c r="R297" s="6" t="s">
        <v>141</v>
      </c>
      <c r="S297" s="9">
        <f t="shared" si="124"/>
        <v>20</v>
      </c>
      <c r="T297" s="9">
        <v>0</v>
      </c>
      <c r="U297" s="5" t="s">
        <v>141</v>
      </c>
      <c r="V297" s="9">
        <v>20</v>
      </c>
      <c r="W297" s="5" t="s">
        <v>1246</v>
      </c>
      <c r="X297" s="38">
        <v>5</v>
      </c>
      <c r="Y297" s="5"/>
      <c r="AF297" s="97">
        <v>1.1299999999999999</v>
      </c>
      <c r="AG297" s="98">
        <f t="shared" si="126"/>
        <v>5.6499999999999995</v>
      </c>
      <c r="AH297" s="98">
        <f t="shared" si="127"/>
        <v>0.47083333333333327</v>
      </c>
      <c r="AI297" s="98">
        <f t="shared" si="128"/>
        <v>1.5694444444444441E-2</v>
      </c>
      <c r="AJ297" s="97">
        <v>1.25</v>
      </c>
      <c r="AK297" s="37">
        <f t="shared" si="125"/>
        <v>0</v>
      </c>
    </row>
    <row r="298" spans="1:37" ht="110.25" x14ac:dyDescent="0.35">
      <c r="A298" s="71" t="s">
        <v>1162</v>
      </c>
      <c r="B298" s="28" t="s">
        <v>356</v>
      </c>
      <c r="C298" s="5" t="s">
        <v>1413</v>
      </c>
      <c r="D298" s="5" t="s">
        <v>1967</v>
      </c>
      <c r="E298" s="5" t="s">
        <v>119</v>
      </c>
      <c r="F298" s="4" t="s">
        <v>1560</v>
      </c>
      <c r="G298" s="12"/>
      <c r="H298" s="35">
        <f>8*4</f>
        <v>32</v>
      </c>
      <c r="I298" s="35">
        <f>12*8-H298</f>
        <v>64</v>
      </c>
      <c r="J298" s="35">
        <f>(2+8+2+2)*2*2</f>
        <v>56</v>
      </c>
      <c r="K298" s="9">
        <v>3</v>
      </c>
      <c r="L298" s="10">
        <v>3.3</v>
      </c>
      <c r="M298" s="6" t="s">
        <v>494</v>
      </c>
      <c r="N298" s="6" t="s">
        <v>494</v>
      </c>
      <c r="O298" s="5"/>
      <c r="P298" s="6"/>
      <c r="Q298" s="12" t="s">
        <v>141</v>
      </c>
      <c r="R298" s="6" t="s">
        <v>141</v>
      </c>
      <c r="S298" s="9">
        <f t="shared" si="124"/>
        <v>15</v>
      </c>
      <c r="T298" s="9">
        <v>0</v>
      </c>
      <c r="U298" s="5" t="s">
        <v>141</v>
      </c>
      <c r="V298" s="9">
        <v>15</v>
      </c>
      <c r="W298" s="5" t="s">
        <v>1250</v>
      </c>
      <c r="X298" s="38">
        <v>26</v>
      </c>
      <c r="Y298" s="5"/>
      <c r="Z298" s="45" t="s">
        <v>425</v>
      </c>
      <c r="AF298" s="97">
        <v>1.1299999999999999</v>
      </c>
      <c r="AG298" s="98">
        <f t="shared" si="126"/>
        <v>29.379999999999995</v>
      </c>
      <c r="AH298" s="98">
        <f t="shared" si="127"/>
        <v>2.4483333333333328</v>
      </c>
      <c r="AI298" s="98">
        <f t="shared" si="128"/>
        <v>8.1611111111111093E-2</v>
      </c>
      <c r="AJ298" s="97">
        <v>1.25</v>
      </c>
      <c r="AK298" s="37">
        <f t="shared" si="125"/>
        <v>0</v>
      </c>
    </row>
    <row r="299" spans="1:37" x14ac:dyDescent="0.35">
      <c r="A299" s="71" t="s">
        <v>1163</v>
      </c>
      <c r="B299" s="28" t="s">
        <v>356</v>
      </c>
      <c r="C299" s="5" t="s">
        <v>1588</v>
      </c>
      <c r="D299" s="5" t="s">
        <v>1321</v>
      </c>
      <c r="E299" s="5" t="s">
        <v>119</v>
      </c>
      <c r="F299" s="6" t="s">
        <v>141</v>
      </c>
      <c r="G299" s="6"/>
      <c r="H299" s="32"/>
      <c r="I299" s="32"/>
      <c r="J299" s="32"/>
      <c r="K299" s="6" t="s">
        <v>141</v>
      </c>
      <c r="L299" s="6" t="s">
        <v>141</v>
      </c>
      <c r="M299" s="6" t="s">
        <v>141</v>
      </c>
      <c r="N299" s="6" t="s">
        <v>141</v>
      </c>
      <c r="O299" s="33"/>
      <c r="P299" s="34"/>
      <c r="Q299" s="6" t="s">
        <v>141</v>
      </c>
      <c r="R299" s="6" t="s">
        <v>141</v>
      </c>
      <c r="S299" s="6" t="s">
        <v>141</v>
      </c>
      <c r="T299" s="6" t="s">
        <v>141</v>
      </c>
      <c r="U299" s="6" t="s">
        <v>141</v>
      </c>
      <c r="V299" s="6" t="s">
        <v>141</v>
      </c>
      <c r="W299" s="6" t="s">
        <v>141</v>
      </c>
      <c r="X299" s="38">
        <v>25</v>
      </c>
      <c r="Y299" s="5"/>
      <c r="AF299" s="97">
        <v>1.1299999999999999</v>
      </c>
      <c r="AG299" s="98">
        <f t="shared" ref="AG299" si="129">X299*AF299</f>
        <v>28.249999999999996</v>
      </c>
      <c r="AH299" s="98">
        <f t="shared" si="127"/>
        <v>2.3541666666666665</v>
      </c>
      <c r="AI299" s="98">
        <f t="shared" si="128"/>
        <v>7.8472222222222221E-2</v>
      </c>
      <c r="AJ299" s="97">
        <v>1.25</v>
      </c>
      <c r="AK299" s="37">
        <f t="shared" ref="AK299" si="130">ROUND(AI299*AJ299,0)</f>
        <v>0</v>
      </c>
    </row>
    <row r="300" spans="1:37" ht="110.25" x14ac:dyDescent="0.35">
      <c r="A300" s="71" t="s">
        <v>1164</v>
      </c>
      <c r="B300" s="28" t="s">
        <v>356</v>
      </c>
      <c r="C300" s="5" t="s">
        <v>1413</v>
      </c>
      <c r="D300" s="5" t="s">
        <v>1281</v>
      </c>
      <c r="E300" s="5" t="s">
        <v>119</v>
      </c>
      <c r="F300" s="4" t="s">
        <v>1402</v>
      </c>
      <c r="G300" s="6"/>
      <c r="H300" s="32"/>
      <c r="I300" s="32"/>
      <c r="J300" s="32"/>
      <c r="K300" s="9">
        <v>1</v>
      </c>
      <c r="L300" s="10">
        <v>1.1000000000000001</v>
      </c>
      <c r="M300" s="6" t="s">
        <v>494</v>
      </c>
      <c r="N300" s="6" t="s">
        <v>494</v>
      </c>
      <c r="O300" s="5"/>
      <c r="P300" s="6"/>
      <c r="Q300" s="12" t="s">
        <v>141</v>
      </c>
      <c r="R300" s="6" t="s">
        <v>141</v>
      </c>
      <c r="S300" s="9">
        <f t="shared" si="124"/>
        <v>4</v>
      </c>
      <c r="T300" s="9">
        <v>0</v>
      </c>
      <c r="U300" s="5" t="s">
        <v>141</v>
      </c>
      <c r="V300" s="9">
        <v>4</v>
      </c>
      <c r="W300" s="5" t="s">
        <v>1282</v>
      </c>
      <c r="X300" s="38">
        <v>6</v>
      </c>
      <c r="Y300" s="5"/>
      <c r="AF300" s="97">
        <v>1.1299999999999999</v>
      </c>
      <c r="AG300" s="98">
        <f t="shared" si="126"/>
        <v>6.7799999999999994</v>
      </c>
      <c r="AH300" s="98">
        <f t="shared" si="127"/>
        <v>0.56499999999999995</v>
      </c>
      <c r="AI300" s="98">
        <f t="shared" si="128"/>
        <v>1.883333333333333E-2</v>
      </c>
      <c r="AJ300" s="97">
        <v>1.25</v>
      </c>
      <c r="AK300" s="37">
        <f t="shared" si="125"/>
        <v>0</v>
      </c>
    </row>
    <row r="301" spans="1:37" ht="110.25" x14ac:dyDescent="0.35">
      <c r="A301" s="71" t="s">
        <v>1165</v>
      </c>
      <c r="B301" s="28" t="s">
        <v>356</v>
      </c>
      <c r="C301" s="5" t="s">
        <v>1413</v>
      </c>
      <c r="D301" s="5" t="s">
        <v>1283</v>
      </c>
      <c r="E301" s="5" t="s">
        <v>119</v>
      </c>
      <c r="F301" s="4" t="s">
        <v>1402</v>
      </c>
      <c r="G301" s="6"/>
      <c r="H301" s="32"/>
      <c r="I301" s="32"/>
      <c r="J301" s="32"/>
      <c r="K301" s="9">
        <v>1</v>
      </c>
      <c r="L301" s="10">
        <v>1.1000000000000001</v>
      </c>
      <c r="M301" s="6" t="s">
        <v>494</v>
      </c>
      <c r="N301" s="6" t="s">
        <v>494</v>
      </c>
      <c r="O301" s="5"/>
      <c r="P301" s="6"/>
      <c r="Q301" s="12" t="s">
        <v>141</v>
      </c>
      <c r="R301" s="6" t="s">
        <v>141</v>
      </c>
      <c r="S301" s="9">
        <f t="shared" si="124"/>
        <v>10</v>
      </c>
      <c r="T301" s="9">
        <v>0</v>
      </c>
      <c r="U301" s="5" t="s">
        <v>141</v>
      </c>
      <c r="V301" s="9">
        <v>10</v>
      </c>
      <c r="W301" s="5" t="s">
        <v>1284</v>
      </c>
      <c r="X301" s="38">
        <v>5</v>
      </c>
      <c r="Y301" s="5"/>
      <c r="AF301" s="97">
        <v>1.1299999999999999</v>
      </c>
      <c r="AG301" s="98">
        <f t="shared" si="126"/>
        <v>5.6499999999999995</v>
      </c>
      <c r="AH301" s="98">
        <f t="shared" si="127"/>
        <v>0.47083333333333327</v>
      </c>
      <c r="AI301" s="98">
        <f t="shared" si="128"/>
        <v>1.5694444444444441E-2</v>
      </c>
      <c r="AJ301" s="97">
        <v>1.25</v>
      </c>
      <c r="AK301" s="37">
        <f t="shared" si="125"/>
        <v>0</v>
      </c>
    </row>
    <row r="302" spans="1:37" ht="110.25" x14ac:dyDescent="0.35">
      <c r="A302" s="71" t="s">
        <v>1166</v>
      </c>
      <c r="B302" s="28" t="s">
        <v>356</v>
      </c>
      <c r="C302" s="5" t="s">
        <v>1413</v>
      </c>
      <c r="D302" s="5" t="s">
        <v>1322</v>
      </c>
      <c r="E302" s="5" t="s">
        <v>119</v>
      </c>
      <c r="F302" s="4" t="s">
        <v>1402</v>
      </c>
      <c r="G302" s="6"/>
      <c r="H302" s="32"/>
      <c r="I302" s="32"/>
      <c r="J302" s="32"/>
      <c r="K302" s="9">
        <v>1</v>
      </c>
      <c r="L302" s="10">
        <v>1.1000000000000001</v>
      </c>
      <c r="M302" s="6" t="s">
        <v>494</v>
      </c>
      <c r="N302" s="6" t="s">
        <v>494</v>
      </c>
      <c r="O302" s="5"/>
      <c r="P302" s="6"/>
      <c r="Q302" s="12" t="s">
        <v>141</v>
      </c>
      <c r="R302" s="6" t="s">
        <v>141</v>
      </c>
      <c r="S302" s="9">
        <f t="shared" si="124"/>
        <v>15</v>
      </c>
      <c r="T302" s="9">
        <v>0</v>
      </c>
      <c r="U302" s="5" t="s">
        <v>141</v>
      </c>
      <c r="V302" s="9">
        <v>15</v>
      </c>
      <c r="W302" s="5" t="s">
        <v>1285</v>
      </c>
      <c r="X302" s="38">
        <v>12</v>
      </c>
      <c r="Y302" s="5"/>
      <c r="AF302" s="97">
        <v>1.1299999999999999</v>
      </c>
      <c r="AG302" s="98">
        <f t="shared" si="126"/>
        <v>13.559999999999999</v>
      </c>
      <c r="AH302" s="98">
        <f t="shared" si="127"/>
        <v>1.1299999999999999</v>
      </c>
      <c r="AI302" s="98">
        <f t="shared" si="128"/>
        <v>3.7666666666666661E-2</v>
      </c>
      <c r="AJ302" s="97">
        <v>1.25</v>
      </c>
      <c r="AK302" s="37">
        <f t="shared" si="125"/>
        <v>0</v>
      </c>
    </row>
    <row r="303" spans="1:37" ht="110.25" x14ac:dyDescent="0.35">
      <c r="A303" s="71" t="s">
        <v>1167</v>
      </c>
      <c r="B303" s="28" t="s">
        <v>356</v>
      </c>
      <c r="C303" s="5" t="s">
        <v>1413</v>
      </c>
      <c r="D303" s="5" t="s">
        <v>1287</v>
      </c>
      <c r="E303" s="5" t="s">
        <v>119</v>
      </c>
      <c r="F303" s="4" t="s">
        <v>1402</v>
      </c>
      <c r="G303" s="6"/>
      <c r="H303" s="32"/>
      <c r="I303" s="32"/>
      <c r="J303" s="32"/>
      <c r="K303" s="9">
        <v>1</v>
      </c>
      <c r="L303" s="10">
        <v>1.1000000000000001</v>
      </c>
      <c r="M303" s="6" t="s">
        <v>494</v>
      </c>
      <c r="N303" s="6" t="s">
        <v>494</v>
      </c>
      <c r="O303" s="5"/>
      <c r="P303" s="6"/>
      <c r="Q303" s="12" t="s">
        <v>141</v>
      </c>
      <c r="R303" s="6" t="s">
        <v>141</v>
      </c>
      <c r="S303" s="9">
        <f t="shared" si="124"/>
        <v>11</v>
      </c>
      <c r="T303" s="9">
        <v>0</v>
      </c>
      <c r="U303" s="5" t="s">
        <v>141</v>
      </c>
      <c r="V303" s="9">
        <v>11</v>
      </c>
      <c r="W303" s="5" t="s">
        <v>1288</v>
      </c>
      <c r="X303" s="38">
        <v>3</v>
      </c>
      <c r="Y303" s="5"/>
      <c r="AF303" s="97">
        <v>1.1299999999999999</v>
      </c>
      <c r="AG303" s="98">
        <f t="shared" si="126"/>
        <v>3.3899999999999997</v>
      </c>
      <c r="AH303" s="98">
        <f t="shared" si="127"/>
        <v>0.28249999999999997</v>
      </c>
      <c r="AI303" s="98">
        <f t="shared" si="128"/>
        <v>9.4166666666666652E-3</v>
      </c>
      <c r="AJ303" s="97">
        <v>1.25</v>
      </c>
      <c r="AK303" s="37">
        <f t="shared" si="125"/>
        <v>0</v>
      </c>
    </row>
    <row r="304" spans="1:37" ht="110.25" x14ac:dyDescent="0.35">
      <c r="A304" s="71" t="s">
        <v>1168</v>
      </c>
      <c r="B304" s="28" t="s">
        <v>356</v>
      </c>
      <c r="C304" s="5" t="s">
        <v>1413</v>
      </c>
      <c r="D304" s="5" t="s">
        <v>1299</v>
      </c>
      <c r="E304" s="5" t="s">
        <v>119</v>
      </c>
      <c r="F304" s="4" t="s">
        <v>1402</v>
      </c>
      <c r="G304" s="6"/>
      <c r="H304" s="32"/>
      <c r="I304" s="32"/>
      <c r="J304" s="32"/>
      <c r="K304" s="9">
        <v>1</v>
      </c>
      <c r="L304" s="10">
        <v>1.1000000000000001</v>
      </c>
      <c r="M304" s="6" t="s">
        <v>494</v>
      </c>
      <c r="N304" s="6" t="s">
        <v>494</v>
      </c>
      <c r="O304" s="5"/>
      <c r="P304" s="6"/>
      <c r="Q304" s="12" t="s">
        <v>141</v>
      </c>
      <c r="R304" s="6" t="s">
        <v>141</v>
      </c>
      <c r="S304" s="9">
        <f t="shared" si="124"/>
        <v>16</v>
      </c>
      <c r="T304" s="9">
        <v>0</v>
      </c>
      <c r="U304" s="5" t="s">
        <v>141</v>
      </c>
      <c r="V304" s="9">
        <v>16</v>
      </c>
      <c r="W304" s="5" t="s">
        <v>1300</v>
      </c>
      <c r="X304" s="38">
        <v>30</v>
      </c>
      <c r="Y304" s="5"/>
      <c r="AF304" s="97">
        <v>1.1299999999999999</v>
      </c>
      <c r="AG304" s="98">
        <f t="shared" si="126"/>
        <v>33.9</v>
      </c>
      <c r="AH304" s="98">
        <f t="shared" si="127"/>
        <v>2.8249999999999997</v>
      </c>
      <c r="AI304" s="98">
        <f t="shared" si="128"/>
        <v>9.4166666666666662E-2</v>
      </c>
      <c r="AJ304" s="97">
        <v>1.25</v>
      </c>
      <c r="AK304" s="37">
        <f t="shared" si="125"/>
        <v>0</v>
      </c>
    </row>
    <row r="305" spans="1:37" ht="110.25" x14ac:dyDescent="0.35">
      <c r="A305" s="71" t="s">
        <v>1169</v>
      </c>
      <c r="B305" s="28" t="s">
        <v>356</v>
      </c>
      <c r="C305" s="5" t="s">
        <v>1413</v>
      </c>
      <c r="D305" s="5" t="s">
        <v>1301</v>
      </c>
      <c r="E305" s="5" t="s">
        <v>119</v>
      </c>
      <c r="F305" s="4" t="s">
        <v>1402</v>
      </c>
      <c r="G305" s="6"/>
      <c r="H305" s="32"/>
      <c r="I305" s="32"/>
      <c r="J305" s="32"/>
      <c r="K305" s="9">
        <v>1</v>
      </c>
      <c r="L305" s="10">
        <v>1.1000000000000001</v>
      </c>
      <c r="M305" s="6" t="s">
        <v>494</v>
      </c>
      <c r="N305" s="6" t="s">
        <v>494</v>
      </c>
      <c r="O305" s="5"/>
      <c r="P305" s="6"/>
      <c r="Q305" s="12" t="s">
        <v>141</v>
      </c>
      <c r="R305" s="6" t="s">
        <v>141</v>
      </c>
      <c r="S305" s="9">
        <f t="shared" si="124"/>
        <v>17</v>
      </c>
      <c r="T305" s="9">
        <v>0</v>
      </c>
      <c r="U305" s="5" t="s">
        <v>141</v>
      </c>
      <c r="V305" s="9">
        <v>17</v>
      </c>
      <c r="W305" s="5" t="s">
        <v>1302</v>
      </c>
      <c r="X305" s="38">
        <v>8</v>
      </c>
      <c r="Y305" s="5"/>
      <c r="AF305" s="97">
        <v>1.1299999999999999</v>
      </c>
      <c r="AG305" s="98">
        <f t="shared" si="126"/>
        <v>9.0399999999999991</v>
      </c>
      <c r="AH305" s="98">
        <f t="shared" si="127"/>
        <v>0.7533333333333333</v>
      </c>
      <c r="AI305" s="98">
        <f t="shared" si="128"/>
        <v>2.5111111111111108E-2</v>
      </c>
      <c r="AJ305" s="97">
        <v>1.25</v>
      </c>
      <c r="AK305" s="37">
        <f t="shared" si="125"/>
        <v>0</v>
      </c>
    </row>
    <row r="306" spans="1:37" ht="110.25" x14ac:dyDescent="0.35">
      <c r="A306" s="71" t="s">
        <v>1170</v>
      </c>
      <c r="B306" s="28" t="s">
        <v>356</v>
      </c>
      <c r="C306" s="5" t="s">
        <v>1413</v>
      </c>
      <c r="D306" s="5" t="s">
        <v>1312</v>
      </c>
      <c r="E306" s="5" t="s">
        <v>119</v>
      </c>
      <c r="F306" s="4" t="s">
        <v>1402</v>
      </c>
      <c r="G306" s="6"/>
      <c r="H306" s="32"/>
      <c r="I306" s="32"/>
      <c r="J306" s="32"/>
      <c r="K306" s="9">
        <v>1</v>
      </c>
      <c r="L306" s="10">
        <v>1.1000000000000001</v>
      </c>
      <c r="M306" s="6" t="s">
        <v>494</v>
      </c>
      <c r="N306" s="6" t="s">
        <v>494</v>
      </c>
      <c r="O306" s="5"/>
      <c r="P306" s="6"/>
      <c r="Q306" s="12" t="s">
        <v>141</v>
      </c>
      <c r="R306" s="6" t="s">
        <v>141</v>
      </c>
      <c r="S306" s="9">
        <f t="shared" si="124"/>
        <v>12</v>
      </c>
      <c r="T306" s="9">
        <v>0</v>
      </c>
      <c r="U306" s="5" t="s">
        <v>141</v>
      </c>
      <c r="V306" s="9">
        <v>12</v>
      </c>
      <c r="W306" s="5" t="s">
        <v>1313</v>
      </c>
      <c r="X306" s="38">
        <v>12</v>
      </c>
      <c r="Y306" s="5"/>
      <c r="AF306" s="97">
        <v>1.1299999999999999</v>
      </c>
      <c r="AG306" s="98">
        <f t="shared" si="126"/>
        <v>13.559999999999999</v>
      </c>
      <c r="AH306" s="98">
        <f t="shared" si="127"/>
        <v>1.1299999999999999</v>
      </c>
      <c r="AI306" s="98">
        <f t="shared" si="128"/>
        <v>3.7666666666666661E-2</v>
      </c>
      <c r="AJ306" s="97">
        <v>1.25</v>
      </c>
      <c r="AK306" s="37">
        <f t="shared" si="125"/>
        <v>0</v>
      </c>
    </row>
    <row r="307" spans="1:37" ht="110.25" x14ac:dyDescent="0.35">
      <c r="A307" s="71" t="s">
        <v>1171</v>
      </c>
      <c r="B307" s="28" t="s">
        <v>365</v>
      </c>
      <c r="C307" s="5" t="s">
        <v>1413</v>
      </c>
      <c r="D307" s="4" t="s">
        <v>1186</v>
      </c>
      <c r="E307" s="5" t="s">
        <v>119</v>
      </c>
      <c r="F307" s="4" t="s">
        <v>1402</v>
      </c>
      <c r="G307" s="6"/>
      <c r="H307" s="32"/>
      <c r="I307" s="32"/>
      <c r="J307" s="32"/>
      <c r="K307" s="9">
        <v>1</v>
      </c>
      <c r="L307" s="10">
        <v>1.1000000000000001</v>
      </c>
      <c r="M307" s="6" t="s">
        <v>494</v>
      </c>
      <c r="N307" s="6" t="s">
        <v>494</v>
      </c>
      <c r="O307" s="5"/>
      <c r="P307" s="6"/>
      <c r="Q307" s="12" t="s">
        <v>141</v>
      </c>
      <c r="R307" s="6" t="s">
        <v>141</v>
      </c>
      <c r="S307" s="9">
        <f t="shared" si="124"/>
        <v>17</v>
      </c>
      <c r="T307" s="12" t="s">
        <v>197</v>
      </c>
      <c r="U307" s="6" t="s">
        <v>141</v>
      </c>
      <c r="V307" s="12" t="s">
        <v>1187</v>
      </c>
      <c r="W307" s="6" t="s">
        <v>1340</v>
      </c>
      <c r="X307" s="9">
        <v>10</v>
      </c>
      <c r="Y307" s="5"/>
      <c r="AF307" s="97">
        <v>1.1299999999999999</v>
      </c>
      <c r="AG307" s="98">
        <f t="shared" ref="AG307:AG331" si="131">X307*AF307</f>
        <v>11.299999999999999</v>
      </c>
      <c r="AH307" s="98">
        <f t="shared" si="127"/>
        <v>0.94166666666666654</v>
      </c>
      <c r="AI307" s="98">
        <f t="shared" si="128"/>
        <v>3.1388888888888883E-2</v>
      </c>
      <c r="AJ307" s="97">
        <v>1.25</v>
      </c>
      <c r="AK307" s="37">
        <f t="shared" ref="AK307:AK331" si="132">ROUND(AI307*AJ307,0)</f>
        <v>0</v>
      </c>
    </row>
    <row r="308" spans="1:37" ht="110.25" x14ac:dyDescent="0.35">
      <c r="A308" s="71" t="s">
        <v>1172</v>
      </c>
      <c r="B308" s="28" t="s">
        <v>365</v>
      </c>
      <c r="C308" s="5" t="s">
        <v>1413</v>
      </c>
      <c r="D308" s="4" t="s">
        <v>1199</v>
      </c>
      <c r="E308" s="5" t="s">
        <v>119</v>
      </c>
      <c r="F308" s="4" t="s">
        <v>1404</v>
      </c>
      <c r="G308" s="6"/>
      <c r="H308" s="32"/>
      <c r="I308" s="32"/>
      <c r="J308" s="32"/>
      <c r="K308" s="9">
        <v>2</v>
      </c>
      <c r="L308" s="10">
        <v>2.2000000000000002</v>
      </c>
      <c r="M308" s="6" t="s">
        <v>494</v>
      </c>
      <c r="N308" s="6" t="s">
        <v>494</v>
      </c>
      <c r="O308" s="5"/>
      <c r="P308" s="6"/>
      <c r="Q308" s="12" t="s">
        <v>141</v>
      </c>
      <c r="R308" s="6" t="s">
        <v>141</v>
      </c>
      <c r="S308" s="9">
        <f t="shared" si="124"/>
        <v>26</v>
      </c>
      <c r="T308" s="12" t="s">
        <v>197</v>
      </c>
      <c r="U308" s="6" t="s">
        <v>141</v>
      </c>
      <c r="V308" s="12" t="s">
        <v>1200</v>
      </c>
      <c r="W308" s="6" t="s">
        <v>1201</v>
      </c>
      <c r="X308" s="9">
        <v>47</v>
      </c>
      <c r="Y308" s="5"/>
      <c r="Z308" s="45" t="s">
        <v>425</v>
      </c>
      <c r="AF308" s="97">
        <v>1.1299999999999999</v>
      </c>
      <c r="AG308" s="98">
        <f t="shared" si="131"/>
        <v>53.109999999999992</v>
      </c>
      <c r="AH308" s="98">
        <f t="shared" si="127"/>
        <v>4.4258333333333324</v>
      </c>
      <c r="AI308" s="98">
        <f t="shared" si="128"/>
        <v>0.14752777777777776</v>
      </c>
      <c r="AJ308" s="97">
        <v>1.25</v>
      </c>
      <c r="AK308" s="37">
        <f t="shared" si="132"/>
        <v>0</v>
      </c>
    </row>
    <row r="309" spans="1:37" ht="110.25" x14ac:dyDescent="0.35">
      <c r="A309" s="71" t="s">
        <v>1173</v>
      </c>
      <c r="B309" s="28" t="s">
        <v>365</v>
      </c>
      <c r="C309" s="5" t="s">
        <v>1413</v>
      </c>
      <c r="D309" s="4" t="s">
        <v>1347</v>
      </c>
      <c r="E309" s="5" t="s">
        <v>119</v>
      </c>
      <c r="F309" s="4" t="s">
        <v>1402</v>
      </c>
      <c r="G309" s="6"/>
      <c r="H309" s="32"/>
      <c r="I309" s="32"/>
      <c r="J309" s="32"/>
      <c r="K309" s="9">
        <v>1</v>
      </c>
      <c r="L309" s="10">
        <v>1.1000000000000001</v>
      </c>
      <c r="M309" s="6" t="s">
        <v>494</v>
      </c>
      <c r="N309" s="6" t="s">
        <v>494</v>
      </c>
      <c r="O309" s="5"/>
      <c r="P309" s="6"/>
      <c r="Q309" s="12" t="s">
        <v>141</v>
      </c>
      <c r="R309" s="6" t="s">
        <v>141</v>
      </c>
      <c r="S309" s="9">
        <f t="shared" si="124"/>
        <v>34</v>
      </c>
      <c r="T309" s="12" t="s">
        <v>197</v>
      </c>
      <c r="U309" s="6" t="s">
        <v>141</v>
      </c>
      <c r="V309" s="12" t="s">
        <v>1202</v>
      </c>
      <c r="W309" s="6" t="s">
        <v>1203</v>
      </c>
      <c r="X309" s="9">
        <v>8</v>
      </c>
      <c r="Y309" s="5"/>
      <c r="AF309" s="97">
        <v>1.1299999999999999</v>
      </c>
      <c r="AG309" s="98">
        <f t="shared" si="131"/>
        <v>9.0399999999999991</v>
      </c>
      <c r="AH309" s="98">
        <f t="shared" si="127"/>
        <v>0.7533333333333333</v>
      </c>
      <c r="AI309" s="98">
        <f t="shared" si="128"/>
        <v>2.5111111111111108E-2</v>
      </c>
      <c r="AJ309" s="97">
        <v>1.25</v>
      </c>
      <c r="AK309" s="37">
        <f t="shared" si="132"/>
        <v>0</v>
      </c>
    </row>
    <row r="310" spans="1:37" ht="110.25" x14ac:dyDescent="0.35">
      <c r="A310" s="71" t="s">
        <v>1174</v>
      </c>
      <c r="B310" s="28" t="s">
        <v>365</v>
      </c>
      <c r="C310" s="5" t="s">
        <v>1413</v>
      </c>
      <c r="D310" s="4" t="s">
        <v>1348</v>
      </c>
      <c r="E310" s="5" t="s">
        <v>119</v>
      </c>
      <c r="F310" s="4" t="s">
        <v>1402</v>
      </c>
      <c r="G310" s="6"/>
      <c r="H310" s="32"/>
      <c r="I310" s="32"/>
      <c r="J310" s="32"/>
      <c r="K310" s="9">
        <v>1</v>
      </c>
      <c r="L310" s="10">
        <v>1.1000000000000001</v>
      </c>
      <c r="M310" s="6" t="s">
        <v>494</v>
      </c>
      <c r="N310" s="6" t="s">
        <v>494</v>
      </c>
      <c r="O310" s="5"/>
      <c r="P310" s="6"/>
      <c r="Q310" s="12" t="s">
        <v>141</v>
      </c>
      <c r="R310" s="6" t="s">
        <v>141</v>
      </c>
      <c r="S310" s="9">
        <f t="shared" si="124"/>
        <v>17</v>
      </c>
      <c r="T310" s="12" t="s">
        <v>197</v>
      </c>
      <c r="U310" s="6" t="s">
        <v>141</v>
      </c>
      <c r="V310" s="12" t="s">
        <v>1187</v>
      </c>
      <c r="W310" s="6" t="s">
        <v>1204</v>
      </c>
      <c r="X310" s="9">
        <v>8</v>
      </c>
      <c r="Y310" s="5"/>
      <c r="AF310" s="97">
        <v>1.1299999999999999</v>
      </c>
      <c r="AG310" s="98">
        <f t="shared" si="131"/>
        <v>9.0399999999999991</v>
      </c>
      <c r="AH310" s="98">
        <f t="shared" si="127"/>
        <v>0.7533333333333333</v>
      </c>
      <c r="AI310" s="98">
        <f t="shared" si="128"/>
        <v>2.5111111111111108E-2</v>
      </c>
      <c r="AJ310" s="97">
        <v>1.25</v>
      </c>
      <c r="AK310" s="37">
        <f t="shared" si="132"/>
        <v>0</v>
      </c>
    </row>
    <row r="311" spans="1:37" ht="110.25" x14ac:dyDescent="0.35">
      <c r="A311" s="71" t="s">
        <v>1175</v>
      </c>
      <c r="B311" s="28" t="s">
        <v>365</v>
      </c>
      <c r="C311" s="5" t="s">
        <v>1413</v>
      </c>
      <c r="D311" s="4" t="s">
        <v>1566</v>
      </c>
      <c r="E311" s="5" t="s">
        <v>1221</v>
      </c>
      <c r="F311" s="4" t="s">
        <v>1560</v>
      </c>
      <c r="G311" s="12"/>
      <c r="H311" s="35">
        <f>8*4</f>
        <v>32</v>
      </c>
      <c r="I311" s="35">
        <f>12*8-H311</f>
        <v>64</v>
      </c>
      <c r="J311" s="35">
        <f>(2+8+2+2)*2*2</f>
        <v>56</v>
      </c>
      <c r="K311" s="9">
        <v>3</v>
      </c>
      <c r="L311" s="10">
        <v>3.3</v>
      </c>
      <c r="M311" s="6" t="s">
        <v>494</v>
      </c>
      <c r="N311" s="6" t="s">
        <v>494</v>
      </c>
      <c r="O311" s="5"/>
      <c r="P311" s="6"/>
      <c r="Q311" s="12" t="s">
        <v>141</v>
      </c>
      <c r="R311" s="6" t="s">
        <v>141</v>
      </c>
      <c r="S311" s="9">
        <f t="shared" si="124"/>
        <v>57</v>
      </c>
      <c r="T311" s="12" t="s">
        <v>197</v>
      </c>
      <c r="U311" s="6" t="s">
        <v>141</v>
      </c>
      <c r="V311" s="12" t="s">
        <v>1590</v>
      </c>
      <c r="W311" s="6" t="s">
        <v>1224</v>
      </c>
      <c r="X311" s="9">
        <v>70</v>
      </c>
      <c r="Y311" s="5"/>
      <c r="Z311" s="45" t="s">
        <v>425</v>
      </c>
      <c r="AF311" s="97">
        <v>1.1299999999999999</v>
      </c>
      <c r="AG311" s="98">
        <f t="shared" si="131"/>
        <v>79.099999999999994</v>
      </c>
      <c r="AH311" s="98">
        <f t="shared" si="127"/>
        <v>6.5916666666666659</v>
      </c>
      <c r="AI311" s="98">
        <f t="shared" si="128"/>
        <v>0.21972222222222221</v>
      </c>
      <c r="AJ311" s="97">
        <v>1.25</v>
      </c>
      <c r="AK311" s="37">
        <f t="shared" si="132"/>
        <v>0</v>
      </c>
    </row>
    <row r="312" spans="1:37" ht="31.5" x14ac:dyDescent="0.35">
      <c r="A312" s="71" t="s">
        <v>1176</v>
      </c>
      <c r="B312" s="28" t="s">
        <v>365</v>
      </c>
      <c r="C312" s="5" t="s">
        <v>1588</v>
      </c>
      <c r="D312" s="4" t="s">
        <v>1222</v>
      </c>
      <c r="E312" s="5" t="s">
        <v>1223</v>
      </c>
      <c r="F312" s="6" t="s">
        <v>141</v>
      </c>
      <c r="G312" s="6"/>
      <c r="H312" s="32"/>
      <c r="I312" s="32"/>
      <c r="J312" s="32"/>
      <c r="K312" s="6" t="s">
        <v>141</v>
      </c>
      <c r="L312" s="6" t="s">
        <v>141</v>
      </c>
      <c r="M312" s="6" t="s">
        <v>141</v>
      </c>
      <c r="N312" s="6" t="s">
        <v>141</v>
      </c>
      <c r="O312" s="33"/>
      <c r="P312" s="34"/>
      <c r="Q312" s="6" t="s">
        <v>141</v>
      </c>
      <c r="R312" s="6" t="s">
        <v>141</v>
      </c>
      <c r="S312" s="6" t="s">
        <v>141</v>
      </c>
      <c r="T312" s="6" t="s">
        <v>141</v>
      </c>
      <c r="U312" s="6" t="s">
        <v>141</v>
      </c>
      <c r="V312" s="6" t="s">
        <v>141</v>
      </c>
      <c r="W312" s="6" t="s">
        <v>141</v>
      </c>
      <c r="X312" s="9">
        <v>70</v>
      </c>
      <c r="Y312" s="5"/>
      <c r="AF312" s="97">
        <v>1.1299999999999999</v>
      </c>
      <c r="AG312" s="98">
        <f t="shared" si="131"/>
        <v>79.099999999999994</v>
      </c>
      <c r="AH312" s="98">
        <f t="shared" si="127"/>
        <v>6.5916666666666659</v>
      </c>
      <c r="AI312" s="98">
        <f t="shared" si="128"/>
        <v>0.21972222222222221</v>
      </c>
      <c r="AJ312" s="97">
        <v>1.25</v>
      </c>
      <c r="AK312" s="37">
        <f t="shared" si="132"/>
        <v>0</v>
      </c>
    </row>
    <row r="313" spans="1:37" ht="110.25" x14ac:dyDescent="0.35">
      <c r="A313" s="71" t="s">
        <v>1177</v>
      </c>
      <c r="B313" s="28" t="s">
        <v>365</v>
      </c>
      <c r="C313" s="5" t="s">
        <v>1413</v>
      </c>
      <c r="D313" s="4" t="s">
        <v>1236</v>
      </c>
      <c r="E313" s="5" t="s">
        <v>1237</v>
      </c>
      <c r="F313" s="4" t="s">
        <v>1404</v>
      </c>
      <c r="G313" s="6"/>
      <c r="H313" s="32"/>
      <c r="I313" s="32"/>
      <c r="J313" s="32"/>
      <c r="K313" s="9">
        <v>2</v>
      </c>
      <c r="L313" s="10">
        <v>2.2000000000000002</v>
      </c>
      <c r="M313" s="6" t="s">
        <v>494</v>
      </c>
      <c r="N313" s="6" t="s">
        <v>494</v>
      </c>
      <c r="O313" s="5"/>
      <c r="P313" s="6"/>
      <c r="Q313" s="12" t="s">
        <v>141</v>
      </c>
      <c r="R313" s="6" t="s">
        <v>141</v>
      </c>
      <c r="S313" s="9">
        <f t="shared" si="124"/>
        <v>20</v>
      </c>
      <c r="T313" s="12" t="s">
        <v>197</v>
      </c>
      <c r="U313" s="6" t="s">
        <v>141</v>
      </c>
      <c r="V313" s="12" t="s">
        <v>1238</v>
      </c>
      <c r="W313" s="6" t="s">
        <v>1239</v>
      </c>
      <c r="X313" s="9">
        <v>23</v>
      </c>
      <c r="Y313" s="5"/>
      <c r="AF313" s="97">
        <v>1.1299999999999999</v>
      </c>
      <c r="AG313" s="98">
        <f t="shared" si="131"/>
        <v>25.99</v>
      </c>
      <c r="AH313" s="98">
        <f t="shared" si="127"/>
        <v>2.1658333333333331</v>
      </c>
      <c r="AI313" s="98">
        <f t="shared" si="128"/>
        <v>7.2194444444444436E-2</v>
      </c>
      <c r="AJ313" s="97">
        <v>1.25</v>
      </c>
      <c r="AK313" s="37">
        <f t="shared" si="132"/>
        <v>0</v>
      </c>
    </row>
    <row r="314" spans="1:37" ht="110.25" x14ac:dyDescent="0.35">
      <c r="A314" s="71" t="s">
        <v>1178</v>
      </c>
      <c r="B314" s="28" t="s">
        <v>365</v>
      </c>
      <c r="C314" s="5" t="s">
        <v>1413</v>
      </c>
      <c r="D314" s="4" t="s">
        <v>1240</v>
      </c>
      <c r="E314" s="5" t="s">
        <v>1237</v>
      </c>
      <c r="F314" s="4" t="s">
        <v>1404</v>
      </c>
      <c r="G314" s="6"/>
      <c r="H314" s="32"/>
      <c r="I314" s="32"/>
      <c r="J314" s="32"/>
      <c r="K314" s="9">
        <v>2</v>
      </c>
      <c r="L314" s="10">
        <v>2.2000000000000002</v>
      </c>
      <c r="M314" s="6" t="s">
        <v>494</v>
      </c>
      <c r="N314" s="6" t="s">
        <v>494</v>
      </c>
      <c r="O314" s="5"/>
      <c r="P314" s="6"/>
      <c r="Q314" s="12" t="s">
        <v>141</v>
      </c>
      <c r="R314" s="6" t="s">
        <v>141</v>
      </c>
      <c r="S314" s="9">
        <f t="shared" si="124"/>
        <v>35</v>
      </c>
      <c r="T314" s="12" t="s">
        <v>197</v>
      </c>
      <c r="U314" s="6" t="s">
        <v>141</v>
      </c>
      <c r="V314" s="12" t="s">
        <v>1241</v>
      </c>
      <c r="W314" s="6" t="s">
        <v>1242</v>
      </c>
      <c r="X314" s="9">
        <v>40</v>
      </c>
      <c r="Y314" s="5"/>
      <c r="AF314" s="97">
        <v>1.1299999999999999</v>
      </c>
      <c r="AG314" s="98">
        <f t="shared" si="131"/>
        <v>45.199999999999996</v>
      </c>
      <c r="AH314" s="98">
        <f t="shared" si="127"/>
        <v>3.7666666666666662</v>
      </c>
      <c r="AI314" s="98">
        <f t="shared" si="128"/>
        <v>0.12555555555555553</v>
      </c>
      <c r="AJ314" s="97">
        <v>1.25</v>
      </c>
      <c r="AK314" s="37">
        <f t="shared" si="132"/>
        <v>0</v>
      </c>
    </row>
    <row r="315" spans="1:37" ht="110.25" x14ac:dyDescent="0.35">
      <c r="A315" s="71" t="s">
        <v>1179</v>
      </c>
      <c r="B315" s="28"/>
      <c r="C315" s="5" t="s">
        <v>1413</v>
      </c>
      <c r="D315" s="4" t="s">
        <v>1496</v>
      </c>
      <c r="E315" s="5" t="s">
        <v>325</v>
      </c>
      <c r="F315" s="4" t="s">
        <v>1405</v>
      </c>
      <c r="G315" s="6"/>
      <c r="H315" s="32"/>
      <c r="I315" s="32"/>
      <c r="J315" s="32"/>
      <c r="K315" s="9">
        <v>6</v>
      </c>
      <c r="L315" s="10">
        <v>6.6</v>
      </c>
      <c r="M315" s="6" t="s">
        <v>494</v>
      </c>
      <c r="N315" s="6" t="s">
        <v>494</v>
      </c>
      <c r="O315" s="5"/>
      <c r="P315" s="6"/>
      <c r="Q315" s="12" t="s">
        <v>141</v>
      </c>
      <c r="R315" s="6" t="s">
        <v>141</v>
      </c>
      <c r="S315" s="9">
        <f t="shared" si="124"/>
        <v>64</v>
      </c>
      <c r="T315" s="12" t="s">
        <v>197</v>
      </c>
      <c r="U315" s="6" t="s">
        <v>141</v>
      </c>
      <c r="V315" s="11">
        <v>64</v>
      </c>
      <c r="W315" s="6" t="s">
        <v>734</v>
      </c>
      <c r="X315" s="94">
        <v>111</v>
      </c>
      <c r="Y315" s="5"/>
      <c r="Z315" s="45" t="s">
        <v>425</v>
      </c>
      <c r="AF315" s="97"/>
      <c r="AG315" s="98"/>
      <c r="AH315" s="98"/>
      <c r="AI315" s="98"/>
      <c r="AJ315" s="97"/>
      <c r="AK315" s="37"/>
    </row>
    <row r="316" spans="1:37" ht="110.25" x14ac:dyDescent="0.35">
      <c r="A316" s="71" t="s">
        <v>1180</v>
      </c>
      <c r="B316" s="28" t="s">
        <v>365</v>
      </c>
      <c r="C316" s="5" t="s">
        <v>1413</v>
      </c>
      <c r="D316" s="4" t="s">
        <v>1248</v>
      </c>
      <c r="E316" s="5" t="s">
        <v>119</v>
      </c>
      <c r="F316" s="4" t="s">
        <v>1404</v>
      </c>
      <c r="G316" s="6"/>
      <c r="H316" s="32"/>
      <c r="I316" s="32"/>
      <c r="J316" s="32"/>
      <c r="K316" s="9">
        <v>2</v>
      </c>
      <c r="L316" s="10">
        <v>2.2000000000000002</v>
      </c>
      <c r="M316" s="6" t="s">
        <v>494</v>
      </c>
      <c r="N316" s="6" t="s">
        <v>494</v>
      </c>
      <c r="O316" s="5"/>
      <c r="P316" s="6"/>
      <c r="Q316" s="12" t="s">
        <v>141</v>
      </c>
      <c r="R316" s="6" t="s">
        <v>141</v>
      </c>
      <c r="S316" s="9">
        <f t="shared" si="124"/>
        <v>20</v>
      </c>
      <c r="T316" s="12" t="s">
        <v>197</v>
      </c>
      <c r="U316" s="6" t="s">
        <v>141</v>
      </c>
      <c r="V316" s="11">
        <v>20</v>
      </c>
      <c r="W316" s="6" t="s">
        <v>1249</v>
      </c>
      <c r="X316" s="9">
        <v>11</v>
      </c>
      <c r="Y316" s="5"/>
      <c r="AF316" s="97">
        <v>1.1299999999999999</v>
      </c>
      <c r="AG316" s="98">
        <f t="shared" si="131"/>
        <v>12.43</v>
      </c>
      <c r="AH316" s="98">
        <f t="shared" si="127"/>
        <v>1.0358333333333334</v>
      </c>
      <c r="AI316" s="98">
        <f t="shared" si="128"/>
        <v>3.4527777777777782E-2</v>
      </c>
      <c r="AJ316" s="97">
        <v>1.25</v>
      </c>
      <c r="AK316" s="37">
        <f t="shared" si="132"/>
        <v>0</v>
      </c>
    </row>
    <row r="317" spans="1:37" ht="110.25" x14ac:dyDescent="0.35">
      <c r="A317" s="71" t="s">
        <v>1181</v>
      </c>
      <c r="B317" s="28" t="s">
        <v>365</v>
      </c>
      <c r="C317" s="5" t="s">
        <v>1413</v>
      </c>
      <c r="D317" s="4" t="s">
        <v>1257</v>
      </c>
      <c r="E317" s="5" t="s">
        <v>1258</v>
      </c>
      <c r="F317" s="4" t="s">
        <v>1402</v>
      </c>
      <c r="G317" s="6"/>
      <c r="H317" s="32"/>
      <c r="I317" s="32"/>
      <c r="J317" s="32"/>
      <c r="K317" s="9">
        <v>1</v>
      </c>
      <c r="L317" s="10">
        <v>1.1000000000000001</v>
      </c>
      <c r="M317" s="6" t="s">
        <v>494</v>
      </c>
      <c r="N317" s="6" t="s">
        <v>494</v>
      </c>
      <c r="O317" s="5"/>
      <c r="P317" s="6"/>
      <c r="Q317" s="12" t="s">
        <v>141</v>
      </c>
      <c r="R317" s="6" t="s">
        <v>141</v>
      </c>
      <c r="S317" s="9">
        <f t="shared" si="124"/>
        <v>15</v>
      </c>
      <c r="T317" s="12" t="s">
        <v>197</v>
      </c>
      <c r="U317" s="6" t="s">
        <v>141</v>
      </c>
      <c r="V317" s="12" t="s">
        <v>1259</v>
      </c>
      <c r="W317" s="6" t="s">
        <v>1249</v>
      </c>
      <c r="X317" s="9">
        <v>26</v>
      </c>
      <c r="Y317" s="5"/>
      <c r="AF317" s="97">
        <v>1.1299999999999999</v>
      </c>
      <c r="AG317" s="98">
        <f t="shared" si="131"/>
        <v>29.379999999999995</v>
      </c>
      <c r="AH317" s="98">
        <f t="shared" si="127"/>
        <v>2.4483333333333328</v>
      </c>
      <c r="AI317" s="98">
        <f t="shared" si="128"/>
        <v>8.1611111111111093E-2</v>
      </c>
      <c r="AJ317" s="97">
        <v>1.25</v>
      </c>
      <c r="AK317" s="37">
        <f t="shared" si="132"/>
        <v>0</v>
      </c>
    </row>
    <row r="318" spans="1:37" ht="110.25" x14ac:dyDescent="0.35">
      <c r="A318" s="71" t="s">
        <v>1324</v>
      </c>
      <c r="B318" s="28" t="s">
        <v>365</v>
      </c>
      <c r="C318" s="5" t="s">
        <v>1413</v>
      </c>
      <c r="D318" s="4" t="s">
        <v>1260</v>
      </c>
      <c r="E318" s="5" t="s">
        <v>1258</v>
      </c>
      <c r="F318" s="4" t="s">
        <v>1402</v>
      </c>
      <c r="G318" s="6"/>
      <c r="H318" s="32"/>
      <c r="I318" s="32"/>
      <c r="J318" s="32"/>
      <c r="K318" s="9">
        <v>1</v>
      </c>
      <c r="L318" s="10">
        <v>1.1000000000000001</v>
      </c>
      <c r="M318" s="6" t="s">
        <v>494</v>
      </c>
      <c r="N318" s="6" t="s">
        <v>494</v>
      </c>
      <c r="O318" s="5"/>
      <c r="P318" s="6"/>
      <c r="Q318" s="12" t="s">
        <v>141</v>
      </c>
      <c r="R318" s="6" t="s">
        <v>141</v>
      </c>
      <c r="S318" s="9">
        <f t="shared" ref="S318:S343" si="133">T318+V318</f>
        <v>12</v>
      </c>
      <c r="T318" s="12" t="s">
        <v>197</v>
      </c>
      <c r="U318" s="6" t="s">
        <v>141</v>
      </c>
      <c r="V318" s="12" t="s">
        <v>330</v>
      </c>
      <c r="W318" s="6" t="s">
        <v>1249</v>
      </c>
      <c r="X318" s="9">
        <v>21</v>
      </c>
      <c r="Y318" s="5"/>
      <c r="AF318" s="97">
        <v>1.1299999999999999</v>
      </c>
      <c r="AG318" s="98">
        <f t="shared" si="131"/>
        <v>23.729999999999997</v>
      </c>
      <c r="AH318" s="98">
        <f t="shared" si="127"/>
        <v>1.9774999999999998</v>
      </c>
      <c r="AI318" s="98">
        <f t="shared" si="128"/>
        <v>6.5916666666666665E-2</v>
      </c>
      <c r="AJ318" s="97">
        <v>1.25</v>
      </c>
      <c r="AK318" s="37">
        <f t="shared" si="132"/>
        <v>0</v>
      </c>
    </row>
    <row r="319" spans="1:37" ht="110.25" x14ac:dyDescent="0.35">
      <c r="A319" s="71" t="s">
        <v>1325</v>
      </c>
      <c r="B319" s="28" t="s">
        <v>365</v>
      </c>
      <c r="C319" s="5" t="s">
        <v>1413</v>
      </c>
      <c r="D319" s="4" t="s">
        <v>1971</v>
      </c>
      <c r="E319" s="5" t="s">
        <v>1266</v>
      </c>
      <c r="F319" s="4" t="s">
        <v>1402</v>
      </c>
      <c r="G319" s="6"/>
      <c r="H319" s="32"/>
      <c r="I319" s="32"/>
      <c r="J319" s="32"/>
      <c r="K319" s="9">
        <v>2</v>
      </c>
      <c r="L319" s="10">
        <v>2.2000000000000002</v>
      </c>
      <c r="M319" s="6" t="s">
        <v>494</v>
      </c>
      <c r="N319" s="6" t="s">
        <v>494</v>
      </c>
      <c r="O319" s="5"/>
      <c r="P319" s="6"/>
      <c r="Q319" s="12" t="s">
        <v>141</v>
      </c>
      <c r="R319" s="6" t="s">
        <v>141</v>
      </c>
      <c r="S319" s="9">
        <f t="shared" si="133"/>
        <v>41</v>
      </c>
      <c r="T319" s="12" t="s">
        <v>197</v>
      </c>
      <c r="U319" s="6" t="s">
        <v>141</v>
      </c>
      <c r="V319" s="12" t="s">
        <v>1267</v>
      </c>
      <c r="W319" s="6" t="s">
        <v>1972</v>
      </c>
      <c r="X319" s="9">
        <v>29</v>
      </c>
      <c r="Y319" s="5"/>
      <c r="AF319" s="97">
        <v>1.1299999999999999</v>
      </c>
      <c r="AG319" s="98">
        <f t="shared" si="131"/>
        <v>32.769999999999996</v>
      </c>
      <c r="AH319" s="98">
        <f t="shared" si="127"/>
        <v>2.730833333333333</v>
      </c>
      <c r="AI319" s="98">
        <f t="shared" si="128"/>
        <v>9.1027777777777763E-2</v>
      </c>
      <c r="AJ319" s="97">
        <v>1.25</v>
      </c>
      <c r="AK319" s="37">
        <f t="shared" si="132"/>
        <v>0</v>
      </c>
    </row>
    <row r="320" spans="1:37" ht="110.25" x14ac:dyDescent="0.35">
      <c r="A320" s="71" t="s">
        <v>1326</v>
      </c>
      <c r="B320" s="28" t="s">
        <v>365</v>
      </c>
      <c r="C320" s="5" t="s">
        <v>1413</v>
      </c>
      <c r="D320" s="4" t="s">
        <v>1665</v>
      </c>
      <c r="E320" s="5" t="s">
        <v>1268</v>
      </c>
      <c r="F320" s="4" t="s">
        <v>1403</v>
      </c>
      <c r="G320" s="12"/>
      <c r="H320" s="35">
        <f>6*4</f>
        <v>24</v>
      </c>
      <c r="I320" s="35">
        <f>12*8-H320</f>
        <v>72</v>
      </c>
      <c r="J320" s="35">
        <f>(2+6+2+2)*2*2</f>
        <v>48</v>
      </c>
      <c r="K320" s="9">
        <v>4</v>
      </c>
      <c r="L320" s="10">
        <v>4.4000000000000004</v>
      </c>
      <c r="M320" s="6" t="s">
        <v>494</v>
      </c>
      <c r="N320" s="6" t="s">
        <v>494</v>
      </c>
      <c r="O320" s="5"/>
      <c r="P320" s="6"/>
      <c r="Q320" s="12" t="s">
        <v>141</v>
      </c>
      <c r="R320" s="6" t="s">
        <v>141</v>
      </c>
      <c r="S320" s="9">
        <f t="shared" si="133"/>
        <v>112</v>
      </c>
      <c r="T320" s="12" t="s">
        <v>197</v>
      </c>
      <c r="U320" s="6" t="s">
        <v>141</v>
      </c>
      <c r="V320" s="12" t="s">
        <v>1269</v>
      </c>
      <c r="W320" s="6" t="s">
        <v>1270</v>
      </c>
      <c r="X320" s="9">
        <v>95</v>
      </c>
      <c r="Y320" s="5"/>
      <c r="Z320" s="45" t="s">
        <v>425</v>
      </c>
      <c r="AF320" s="97">
        <v>1.1299999999999999</v>
      </c>
      <c r="AG320" s="98">
        <f t="shared" si="131"/>
        <v>107.35</v>
      </c>
      <c r="AH320" s="98">
        <f t="shared" si="127"/>
        <v>8.9458333333333329</v>
      </c>
      <c r="AI320" s="98">
        <f t="shared" si="128"/>
        <v>0.29819444444444443</v>
      </c>
      <c r="AJ320" s="97">
        <v>1.25</v>
      </c>
      <c r="AK320" s="37">
        <f t="shared" si="132"/>
        <v>0</v>
      </c>
    </row>
    <row r="321" spans="1:37" ht="110.25" x14ac:dyDescent="0.35">
      <c r="A321" s="71" t="s">
        <v>1327</v>
      </c>
      <c r="B321" s="28" t="s">
        <v>365</v>
      </c>
      <c r="C321" s="5" t="s">
        <v>1413</v>
      </c>
      <c r="D321" s="4" t="s">
        <v>1906</v>
      </c>
      <c r="E321" s="5" t="s">
        <v>119</v>
      </c>
      <c r="F321" s="4" t="s">
        <v>1402</v>
      </c>
      <c r="G321" s="6"/>
      <c r="H321" s="32"/>
      <c r="I321" s="32"/>
      <c r="J321" s="32"/>
      <c r="K321" s="9">
        <v>1</v>
      </c>
      <c r="L321" s="10">
        <v>1.1000000000000001</v>
      </c>
      <c r="M321" s="6" t="s">
        <v>494</v>
      </c>
      <c r="N321" s="6" t="s">
        <v>494</v>
      </c>
      <c r="O321" s="5"/>
      <c r="P321" s="6"/>
      <c r="Q321" s="12" t="s">
        <v>141</v>
      </c>
      <c r="R321" s="6" t="s">
        <v>141</v>
      </c>
      <c r="S321" s="9">
        <f t="shared" si="133"/>
        <v>40</v>
      </c>
      <c r="T321" s="12" t="s">
        <v>197</v>
      </c>
      <c r="U321" s="6" t="s">
        <v>141</v>
      </c>
      <c r="V321" s="12" t="s">
        <v>1271</v>
      </c>
      <c r="W321" s="6" t="s">
        <v>1272</v>
      </c>
      <c r="X321" s="9">
        <v>19</v>
      </c>
      <c r="Y321" s="5"/>
      <c r="AF321" s="97">
        <v>1.1299999999999999</v>
      </c>
      <c r="AG321" s="98">
        <f t="shared" si="131"/>
        <v>21.47</v>
      </c>
      <c r="AH321" s="98">
        <f t="shared" si="127"/>
        <v>1.7891666666666666</v>
      </c>
      <c r="AI321" s="98">
        <f t="shared" si="128"/>
        <v>5.9638888888888887E-2</v>
      </c>
      <c r="AJ321" s="97">
        <v>1.25</v>
      </c>
      <c r="AK321" s="37">
        <f t="shared" si="132"/>
        <v>0</v>
      </c>
    </row>
    <row r="322" spans="1:37" ht="110.25" x14ac:dyDescent="0.35">
      <c r="A322" s="71" t="s">
        <v>1328</v>
      </c>
      <c r="B322" s="28" t="s">
        <v>365</v>
      </c>
      <c r="C322" s="5" t="s">
        <v>1413</v>
      </c>
      <c r="D322" s="5" t="s">
        <v>1273</v>
      </c>
      <c r="E322" s="5" t="s">
        <v>119</v>
      </c>
      <c r="F322" s="4" t="s">
        <v>1403</v>
      </c>
      <c r="G322" s="6"/>
      <c r="H322" s="32"/>
      <c r="I322" s="32"/>
      <c r="J322" s="32"/>
      <c r="K322" s="9">
        <v>3</v>
      </c>
      <c r="L322" s="10">
        <v>3.3</v>
      </c>
      <c r="M322" s="6" t="s">
        <v>494</v>
      </c>
      <c r="N322" s="6" t="s">
        <v>494</v>
      </c>
      <c r="O322" s="5"/>
      <c r="P322" s="6"/>
      <c r="Q322" s="11">
        <v>0</v>
      </c>
      <c r="R322" s="6" t="s">
        <v>141</v>
      </c>
      <c r="S322" s="9">
        <f t="shared" si="133"/>
        <v>73</v>
      </c>
      <c r="T322" s="9">
        <v>0</v>
      </c>
      <c r="U322" s="6" t="s">
        <v>141</v>
      </c>
      <c r="V322" s="9">
        <f>21+52</f>
        <v>73</v>
      </c>
      <c r="W322" s="5" t="s">
        <v>1274</v>
      </c>
      <c r="X322" s="9">
        <v>17</v>
      </c>
      <c r="Y322" s="5"/>
      <c r="AF322" s="97">
        <v>1.1299999999999999</v>
      </c>
      <c r="AG322" s="98">
        <f t="shared" si="131"/>
        <v>19.209999999999997</v>
      </c>
      <c r="AH322" s="98">
        <f t="shared" si="127"/>
        <v>1.6008333333333331</v>
      </c>
      <c r="AI322" s="98">
        <f t="shared" si="128"/>
        <v>5.3361111111111102E-2</v>
      </c>
      <c r="AJ322" s="97">
        <v>1.25</v>
      </c>
      <c r="AK322" s="37">
        <f t="shared" si="132"/>
        <v>0</v>
      </c>
    </row>
    <row r="323" spans="1:37" ht="110.25" x14ac:dyDescent="0.35">
      <c r="A323" s="71" t="s">
        <v>1329</v>
      </c>
      <c r="B323" s="28" t="s">
        <v>365</v>
      </c>
      <c r="C323" s="5" t="s">
        <v>1413</v>
      </c>
      <c r="D323" s="4" t="s">
        <v>1349</v>
      </c>
      <c r="E323" s="5" t="s">
        <v>119</v>
      </c>
      <c r="F323" s="4" t="s">
        <v>1402</v>
      </c>
      <c r="G323" s="6"/>
      <c r="H323" s="32"/>
      <c r="I323" s="32"/>
      <c r="J323" s="32"/>
      <c r="K323" s="9">
        <v>1</v>
      </c>
      <c r="L323" s="10">
        <v>1.1000000000000001</v>
      </c>
      <c r="M323" s="6" t="s">
        <v>494</v>
      </c>
      <c r="N323" s="6" t="s">
        <v>494</v>
      </c>
      <c r="O323" s="5"/>
      <c r="P323" s="6"/>
      <c r="Q323" s="12" t="s">
        <v>141</v>
      </c>
      <c r="R323" s="6" t="s">
        <v>141</v>
      </c>
      <c r="S323" s="9">
        <f t="shared" si="133"/>
        <v>20</v>
      </c>
      <c r="T323" s="12" t="s">
        <v>197</v>
      </c>
      <c r="U323" s="6" t="s">
        <v>141</v>
      </c>
      <c r="V323" s="12" t="s">
        <v>1238</v>
      </c>
      <c r="W323" s="6" t="s">
        <v>1249</v>
      </c>
      <c r="X323" s="9">
        <v>14</v>
      </c>
      <c r="Y323" s="5"/>
      <c r="AF323" s="97">
        <v>1.1299999999999999</v>
      </c>
      <c r="AG323" s="98">
        <f t="shared" si="131"/>
        <v>15.819999999999999</v>
      </c>
      <c r="AH323" s="98">
        <f t="shared" si="127"/>
        <v>1.3183333333333331</v>
      </c>
      <c r="AI323" s="98">
        <f t="shared" si="128"/>
        <v>4.3944444444444439E-2</v>
      </c>
      <c r="AJ323" s="97">
        <v>1.25</v>
      </c>
      <c r="AK323" s="37">
        <f t="shared" si="132"/>
        <v>0</v>
      </c>
    </row>
    <row r="324" spans="1:37" ht="110.25" x14ac:dyDescent="0.35">
      <c r="A324" s="71" t="s">
        <v>1330</v>
      </c>
      <c r="B324" s="28" t="s">
        <v>365</v>
      </c>
      <c r="C324" s="5" t="s">
        <v>1413</v>
      </c>
      <c r="D324" s="4" t="s">
        <v>1277</v>
      </c>
      <c r="E324" s="5" t="s">
        <v>119</v>
      </c>
      <c r="F324" s="4" t="s">
        <v>1402</v>
      </c>
      <c r="G324" s="6"/>
      <c r="H324" s="32"/>
      <c r="I324" s="32"/>
      <c r="J324" s="32"/>
      <c r="K324" s="9">
        <v>1</v>
      </c>
      <c r="L324" s="10">
        <v>1.1000000000000001</v>
      </c>
      <c r="M324" s="6" t="s">
        <v>494</v>
      </c>
      <c r="N324" s="6" t="s">
        <v>494</v>
      </c>
      <c r="O324" s="5"/>
      <c r="P324" s="6"/>
      <c r="Q324" s="12" t="s">
        <v>141</v>
      </c>
      <c r="R324" s="6" t="s">
        <v>141</v>
      </c>
      <c r="S324" s="9">
        <f t="shared" si="133"/>
        <v>20</v>
      </c>
      <c r="T324" s="12" t="s">
        <v>197</v>
      </c>
      <c r="U324" s="6" t="s">
        <v>141</v>
      </c>
      <c r="V324" s="12" t="s">
        <v>1238</v>
      </c>
      <c r="W324" s="6" t="s">
        <v>1249</v>
      </c>
      <c r="X324" s="9">
        <v>14</v>
      </c>
      <c r="Y324" s="5"/>
      <c r="AF324" s="97">
        <v>1.1299999999999999</v>
      </c>
      <c r="AG324" s="98">
        <f t="shared" si="131"/>
        <v>15.819999999999999</v>
      </c>
      <c r="AH324" s="98">
        <f t="shared" si="127"/>
        <v>1.3183333333333331</v>
      </c>
      <c r="AI324" s="98">
        <f t="shared" si="128"/>
        <v>4.3944444444444439E-2</v>
      </c>
      <c r="AJ324" s="97">
        <v>1.25</v>
      </c>
      <c r="AK324" s="37">
        <f t="shared" si="132"/>
        <v>0</v>
      </c>
    </row>
    <row r="325" spans="1:37" ht="31.5" x14ac:dyDescent="0.35">
      <c r="A325" s="71" t="s">
        <v>1331</v>
      </c>
      <c r="B325" s="28" t="s">
        <v>365</v>
      </c>
      <c r="C325" s="5" t="s">
        <v>1588</v>
      </c>
      <c r="D325" s="4" t="s">
        <v>1278</v>
      </c>
      <c r="E325" s="5" t="s">
        <v>119</v>
      </c>
      <c r="F325" s="6" t="s">
        <v>141</v>
      </c>
      <c r="G325" s="6"/>
      <c r="H325" s="32"/>
      <c r="I325" s="32"/>
      <c r="J325" s="32"/>
      <c r="K325" s="6" t="s">
        <v>141</v>
      </c>
      <c r="L325" s="6" t="s">
        <v>141</v>
      </c>
      <c r="M325" s="6" t="s">
        <v>141</v>
      </c>
      <c r="N325" s="6" t="s">
        <v>141</v>
      </c>
      <c r="O325" s="33"/>
      <c r="P325" s="34"/>
      <c r="Q325" s="6" t="s">
        <v>141</v>
      </c>
      <c r="R325" s="6" t="s">
        <v>141</v>
      </c>
      <c r="S325" s="6" t="s">
        <v>141</v>
      </c>
      <c r="T325" s="6" t="s">
        <v>141</v>
      </c>
      <c r="U325" s="6" t="s">
        <v>141</v>
      </c>
      <c r="V325" s="6" t="s">
        <v>141</v>
      </c>
      <c r="W325" s="6" t="s">
        <v>141</v>
      </c>
      <c r="X325" s="9">
        <v>127</v>
      </c>
      <c r="Y325" s="5"/>
      <c r="AF325" s="97">
        <v>1.1299999999999999</v>
      </c>
      <c r="AG325" s="98">
        <f t="shared" si="131"/>
        <v>143.51</v>
      </c>
      <c r="AH325" s="98">
        <f t="shared" si="127"/>
        <v>11.959166666666667</v>
      </c>
      <c r="AI325" s="98">
        <f t="shared" si="128"/>
        <v>0.39863888888888888</v>
      </c>
      <c r="AJ325" s="97">
        <v>1.25</v>
      </c>
      <c r="AK325" s="37">
        <f t="shared" si="132"/>
        <v>0</v>
      </c>
    </row>
    <row r="326" spans="1:37" ht="110.25" x14ac:dyDescent="0.35">
      <c r="A326" s="71" t="s">
        <v>1332</v>
      </c>
      <c r="B326" s="28" t="s">
        <v>365</v>
      </c>
      <c r="C326" s="5" t="s">
        <v>1413</v>
      </c>
      <c r="D326" s="5" t="s">
        <v>1279</v>
      </c>
      <c r="E326" s="5" t="s">
        <v>119</v>
      </c>
      <c r="F326" s="4" t="s">
        <v>1403</v>
      </c>
      <c r="G326" s="6"/>
      <c r="H326" s="32"/>
      <c r="I326" s="32"/>
      <c r="J326" s="32"/>
      <c r="K326" s="9">
        <v>3</v>
      </c>
      <c r="L326" s="10">
        <v>3.3</v>
      </c>
      <c r="M326" s="6" t="s">
        <v>494</v>
      </c>
      <c r="N326" s="6" t="s">
        <v>494</v>
      </c>
      <c r="O326" s="5"/>
      <c r="P326" s="6"/>
      <c r="Q326" s="11">
        <v>0</v>
      </c>
      <c r="R326" s="6" t="s">
        <v>141</v>
      </c>
      <c r="S326" s="9">
        <f t="shared" si="133"/>
        <v>31</v>
      </c>
      <c r="T326" s="9">
        <v>0</v>
      </c>
      <c r="U326" s="6" t="s">
        <v>141</v>
      </c>
      <c r="V326" s="9">
        <v>31</v>
      </c>
      <c r="W326" s="5" t="s">
        <v>1280</v>
      </c>
      <c r="X326" s="9">
        <v>130</v>
      </c>
      <c r="Y326" s="5"/>
      <c r="AF326" s="97">
        <v>1.1299999999999999</v>
      </c>
      <c r="AG326" s="98">
        <f t="shared" si="131"/>
        <v>146.89999999999998</v>
      </c>
      <c r="AH326" s="98">
        <f t="shared" si="127"/>
        <v>12.241666666666665</v>
      </c>
      <c r="AI326" s="98">
        <f t="shared" si="128"/>
        <v>0.4080555555555555</v>
      </c>
      <c r="AJ326" s="97">
        <v>1.25</v>
      </c>
      <c r="AK326" s="37">
        <f t="shared" si="132"/>
        <v>1</v>
      </c>
    </row>
    <row r="327" spans="1:37" ht="110.25" x14ac:dyDescent="0.35">
      <c r="A327" s="71" t="s">
        <v>1333</v>
      </c>
      <c r="B327" s="28" t="s">
        <v>365</v>
      </c>
      <c r="C327" s="5" t="s">
        <v>1413</v>
      </c>
      <c r="D327" s="5" t="s">
        <v>1939</v>
      </c>
      <c r="E327" s="5" t="s">
        <v>1286</v>
      </c>
      <c r="F327" s="4" t="s">
        <v>1567</v>
      </c>
      <c r="G327" s="12"/>
      <c r="H327" s="35">
        <f>8*4</f>
        <v>32</v>
      </c>
      <c r="I327" s="35">
        <f>12*8-H327</f>
        <v>64</v>
      </c>
      <c r="J327" s="35">
        <f>(2+8+2+2)*2*2</f>
        <v>56</v>
      </c>
      <c r="K327" s="9">
        <v>4</v>
      </c>
      <c r="L327" s="10">
        <v>4.4000000000000004</v>
      </c>
      <c r="M327" s="6" t="s">
        <v>494</v>
      </c>
      <c r="N327" s="6" t="s">
        <v>494</v>
      </c>
      <c r="O327" s="5"/>
      <c r="P327" s="6"/>
      <c r="Q327" s="11">
        <v>1</v>
      </c>
      <c r="R327" s="6" t="s">
        <v>1568</v>
      </c>
      <c r="S327" s="9">
        <f t="shared" si="133"/>
        <v>76</v>
      </c>
      <c r="T327" s="9">
        <v>0</v>
      </c>
      <c r="U327" s="6" t="s">
        <v>141</v>
      </c>
      <c r="V327" s="9">
        <v>76</v>
      </c>
      <c r="W327" s="5" t="s">
        <v>1569</v>
      </c>
      <c r="X327" s="9">
        <v>352</v>
      </c>
      <c r="Y327" s="5"/>
      <c r="Z327" s="45" t="s">
        <v>425</v>
      </c>
      <c r="AF327" s="97">
        <v>1.1299999999999999</v>
      </c>
      <c r="AG327" s="98">
        <f t="shared" si="131"/>
        <v>397.76</v>
      </c>
      <c r="AH327" s="98">
        <f t="shared" si="127"/>
        <v>33.146666666666668</v>
      </c>
      <c r="AI327" s="98">
        <f t="shared" si="128"/>
        <v>1.104888888888889</v>
      </c>
      <c r="AJ327" s="97">
        <v>1.25</v>
      </c>
      <c r="AK327" s="37">
        <f t="shared" si="132"/>
        <v>1</v>
      </c>
    </row>
    <row r="328" spans="1:37" ht="31.5" x14ac:dyDescent="0.35">
      <c r="A328" s="71" t="s">
        <v>1334</v>
      </c>
      <c r="B328" s="28" t="s">
        <v>365</v>
      </c>
      <c r="C328" s="5" t="s">
        <v>1588</v>
      </c>
      <c r="D328" s="4" t="s">
        <v>1303</v>
      </c>
      <c r="E328" s="6" t="s">
        <v>141</v>
      </c>
      <c r="F328" s="6" t="s">
        <v>141</v>
      </c>
      <c r="G328" s="6" t="s">
        <v>141</v>
      </c>
      <c r="H328" s="6" t="s">
        <v>141</v>
      </c>
      <c r="I328" s="6" t="s">
        <v>141</v>
      </c>
      <c r="J328" s="6" t="s">
        <v>141</v>
      </c>
      <c r="K328" s="6" t="s">
        <v>141</v>
      </c>
      <c r="L328" s="6" t="s">
        <v>141</v>
      </c>
      <c r="M328" s="6" t="s">
        <v>141</v>
      </c>
      <c r="N328" s="6" t="s">
        <v>141</v>
      </c>
      <c r="O328" s="6" t="s">
        <v>141</v>
      </c>
      <c r="P328" s="6" t="s">
        <v>141</v>
      </c>
      <c r="Q328" s="6" t="s">
        <v>141</v>
      </c>
      <c r="R328" s="6" t="s">
        <v>141</v>
      </c>
      <c r="S328" s="6" t="s">
        <v>141</v>
      </c>
      <c r="T328" s="6" t="s">
        <v>141</v>
      </c>
      <c r="U328" s="6" t="s">
        <v>141</v>
      </c>
      <c r="V328" s="6" t="s">
        <v>141</v>
      </c>
      <c r="W328" s="6" t="s">
        <v>141</v>
      </c>
      <c r="X328" s="6" t="s">
        <v>141</v>
      </c>
      <c r="Y328" s="5"/>
      <c r="AF328" s="97">
        <v>1.1299999999999999</v>
      </c>
      <c r="AG328" s="98" t="e">
        <f t="shared" si="131"/>
        <v>#VALUE!</v>
      </c>
      <c r="AH328" s="98" t="e">
        <f t="shared" si="127"/>
        <v>#VALUE!</v>
      </c>
      <c r="AI328" s="98" t="e">
        <f t="shared" si="128"/>
        <v>#VALUE!</v>
      </c>
      <c r="AJ328" s="97">
        <v>1.25</v>
      </c>
      <c r="AK328" s="37" t="e">
        <f t="shared" si="132"/>
        <v>#VALUE!</v>
      </c>
    </row>
    <row r="329" spans="1:37" ht="31.5" x14ac:dyDescent="0.35">
      <c r="A329" s="71" t="s">
        <v>1335</v>
      </c>
      <c r="B329" s="28" t="s">
        <v>365</v>
      </c>
      <c r="C329" s="5" t="s">
        <v>1588</v>
      </c>
      <c r="D329" s="4" t="s">
        <v>1350</v>
      </c>
      <c r="E329" s="6" t="s">
        <v>141</v>
      </c>
      <c r="F329" s="6" t="s">
        <v>141</v>
      </c>
      <c r="G329" s="6" t="s">
        <v>141</v>
      </c>
      <c r="H329" s="6" t="s">
        <v>141</v>
      </c>
      <c r="I329" s="6" t="s">
        <v>141</v>
      </c>
      <c r="J329" s="6" t="s">
        <v>141</v>
      </c>
      <c r="K329" s="6" t="s">
        <v>141</v>
      </c>
      <c r="L329" s="6" t="s">
        <v>141</v>
      </c>
      <c r="M329" s="6" t="s">
        <v>141</v>
      </c>
      <c r="N329" s="6" t="s">
        <v>141</v>
      </c>
      <c r="O329" s="6" t="s">
        <v>141</v>
      </c>
      <c r="P329" s="6" t="s">
        <v>141</v>
      </c>
      <c r="Q329" s="6" t="s">
        <v>141</v>
      </c>
      <c r="R329" s="6" t="s">
        <v>141</v>
      </c>
      <c r="S329" s="6" t="s">
        <v>141</v>
      </c>
      <c r="T329" s="6" t="s">
        <v>141</v>
      </c>
      <c r="U329" s="6" t="s">
        <v>141</v>
      </c>
      <c r="V329" s="6" t="s">
        <v>141</v>
      </c>
      <c r="W329" s="6" t="s">
        <v>141</v>
      </c>
      <c r="X329" s="6" t="s">
        <v>141</v>
      </c>
      <c r="Y329" s="6" t="s">
        <v>141</v>
      </c>
      <c r="AF329" s="97">
        <v>1.1299999999999999</v>
      </c>
      <c r="AG329" s="98" t="e">
        <f t="shared" si="131"/>
        <v>#VALUE!</v>
      </c>
      <c r="AH329" s="98" t="e">
        <f t="shared" si="127"/>
        <v>#VALUE!</v>
      </c>
      <c r="AI329" s="98" t="e">
        <f t="shared" si="128"/>
        <v>#VALUE!</v>
      </c>
      <c r="AJ329" s="97">
        <v>1.25</v>
      </c>
      <c r="AK329" s="37" t="e">
        <f t="shared" si="132"/>
        <v>#VALUE!</v>
      </c>
    </row>
    <row r="330" spans="1:37" ht="110.25" x14ac:dyDescent="0.35">
      <c r="A330" s="71" t="s">
        <v>1336</v>
      </c>
      <c r="B330" s="28" t="s">
        <v>365</v>
      </c>
      <c r="C330" s="5" t="s">
        <v>1413</v>
      </c>
      <c r="D330" s="4" t="s">
        <v>1316</v>
      </c>
      <c r="E330" s="5" t="s">
        <v>119</v>
      </c>
      <c r="F330" s="4" t="s">
        <v>1404</v>
      </c>
      <c r="G330" s="6"/>
      <c r="H330" s="32"/>
      <c r="I330" s="32"/>
      <c r="J330" s="32"/>
      <c r="K330" s="9">
        <v>2</v>
      </c>
      <c r="L330" s="10">
        <v>2.2000000000000002</v>
      </c>
      <c r="M330" s="6" t="s">
        <v>494</v>
      </c>
      <c r="N330" s="6" t="s">
        <v>494</v>
      </c>
      <c r="O330" s="5"/>
      <c r="P330" s="6"/>
      <c r="Q330" s="12" t="s">
        <v>141</v>
      </c>
      <c r="R330" s="6" t="s">
        <v>141</v>
      </c>
      <c r="S330" s="9">
        <f t="shared" si="133"/>
        <v>38</v>
      </c>
      <c r="T330" s="12" t="s">
        <v>197</v>
      </c>
      <c r="U330" s="6" t="s">
        <v>141</v>
      </c>
      <c r="V330" s="12" t="s">
        <v>1305</v>
      </c>
      <c r="W330" s="6" t="s">
        <v>1306</v>
      </c>
      <c r="X330" s="9">
        <v>38</v>
      </c>
      <c r="Y330" s="5"/>
      <c r="AF330" s="97">
        <v>1.1299999999999999</v>
      </c>
      <c r="AG330" s="98">
        <f t="shared" si="131"/>
        <v>42.94</v>
      </c>
      <c r="AH330" s="98">
        <f t="shared" si="127"/>
        <v>3.5783333333333331</v>
      </c>
      <c r="AI330" s="98">
        <f t="shared" si="128"/>
        <v>0.11927777777777777</v>
      </c>
      <c r="AJ330" s="97">
        <v>1.25</v>
      </c>
      <c r="AK330" s="37">
        <f t="shared" si="132"/>
        <v>0</v>
      </c>
    </row>
    <row r="331" spans="1:37" ht="110.25" x14ac:dyDescent="0.35">
      <c r="A331" s="71" t="s">
        <v>1337</v>
      </c>
      <c r="B331" s="28" t="s">
        <v>365</v>
      </c>
      <c r="C331" s="5" t="s">
        <v>1413</v>
      </c>
      <c r="D331" s="4" t="s">
        <v>1307</v>
      </c>
      <c r="E331" s="5" t="s">
        <v>326</v>
      </c>
      <c r="F331" s="4" t="s">
        <v>1402</v>
      </c>
      <c r="G331" s="6"/>
      <c r="H331" s="32"/>
      <c r="I331" s="32"/>
      <c r="J331" s="32"/>
      <c r="K331" s="9">
        <v>1</v>
      </c>
      <c r="L331" s="10">
        <v>8</v>
      </c>
      <c r="M331" s="6" t="s">
        <v>494</v>
      </c>
      <c r="N331" s="6" t="s">
        <v>494</v>
      </c>
      <c r="O331" s="5"/>
      <c r="P331" s="6"/>
      <c r="Q331" s="12" t="s">
        <v>141</v>
      </c>
      <c r="R331" s="6" t="s">
        <v>141</v>
      </c>
      <c r="S331" s="9">
        <f t="shared" si="133"/>
        <v>68</v>
      </c>
      <c r="T331" s="12" t="s">
        <v>197</v>
      </c>
      <c r="U331" s="6" t="s">
        <v>141</v>
      </c>
      <c r="V331" s="12" t="s">
        <v>1308</v>
      </c>
      <c r="W331" s="6" t="s">
        <v>1439</v>
      </c>
      <c r="X331" s="9">
        <v>102</v>
      </c>
      <c r="Y331" s="5"/>
      <c r="AF331" s="97">
        <v>1.1299999999999999</v>
      </c>
      <c r="AG331" s="98">
        <f t="shared" si="131"/>
        <v>115.25999999999999</v>
      </c>
      <c r="AH331" s="98">
        <f t="shared" si="127"/>
        <v>9.6049999999999986</v>
      </c>
      <c r="AI331" s="98">
        <f t="shared" si="128"/>
        <v>0.3201666666666666</v>
      </c>
      <c r="AJ331" s="97">
        <v>1.25</v>
      </c>
      <c r="AK331" s="37">
        <f t="shared" si="132"/>
        <v>0</v>
      </c>
    </row>
    <row r="332" spans="1:37" ht="110.25" x14ac:dyDescent="0.35">
      <c r="A332" s="71" t="s">
        <v>1338</v>
      </c>
      <c r="B332" s="28" t="s">
        <v>365</v>
      </c>
      <c r="C332" s="5" t="s">
        <v>1413</v>
      </c>
      <c r="D332" s="4" t="s">
        <v>1309</v>
      </c>
      <c r="E332" s="5" t="s">
        <v>1310</v>
      </c>
      <c r="F332" s="4" t="s">
        <v>1404</v>
      </c>
      <c r="G332" s="6"/>
      <c r="H332" s="32"/>
      <c r="I332" s="32"/>
      <c r="J332" s="32"/>
      <c r="K332" s="9">
        <v>2</v>
      </c>
      <c r="L332" s="10">
        <v>2.2000000000000002</v>
      </c>
      <c r="M332" s="6" t="s">
        <v>494</v>
      </c>
      <c r="N332" s="6" t="s">
        <v>494</v>
      </c>
      <c r="O332" s="5"/>
      <c r="P332" s="6"/>
      <c r="Q332" s="12" t="s">
        <v>141</v>
      </c>
      <c r="R332" s="6" t="s">
        <v>141</v>
      </c>
      <c r="S332" s="9">
        <f t="shared" si="133"/>
        <v>20</v>
      </c>
      <c r="T332" s="12" t="s">
        <v>197</v>
      </c>
      <c r="U332" s="6" t="s">
        <v>141</v>
      </c>
      <c r="V332" s="12" t="s">
        <v>1238</v>
      </c>
      <c r="W332" s="6" t="s">
        <v>1311</v>
      </c>
      <c r="X332" s="9">
        <v>24</v>
      </c>
      <c r="Y332" s="5"/>
      <c r="AF332" s="97">
        <v>1.1299999999999999</v>
      </c>
      <c r="AG332" s="98">
        <f>X332*AF332</f>
        <v>27.119999999999997</v>
      </c>
      <c r="AH332" s="98">
        <f>AG332/12</f>
        <v>2.2599999999999998</v>
      </c>
      <c r="AI332" s="98">
        <f>AH332/30</f>
        <v>7.5333333333333322E-2</v>
      </c>
      <c r="AJ332" s="97">
        <v>1.25</v>
      </c>
      <c r="AK332" s="37">
        <f>ROUND(AI332*AJ332,0)</f>
        <v>0</v>
      </c>
    </row>
    <row r="333" spans="1:37" ht="110.25" x14ac:dyDescent="0.35">
      <c r="A333" s="71" t="s">
        <v>1339</v>
      </c>
      <c r="B333" s="28" t="s">
        <v>365</v>
      </c>
      <c r="C333" s="5" t="s">
        <v>1413</v>
      </c>
      <c r="D333" s="5" t="s">
        <v>1480</v>
      </c>
      <c r="E333" s="5" t="s">
        <v>119</v>
      </c>
      <c r="F333" s="4" t="s">
        <v>1404</v>
      </c>
      <c r="G333" s="6"/>
      <c r="H333" s="32"/>
      <c r="I333" s="32"/>
      <c r="J333" s="32"/>
      <c r="K333" s="9">
        <v>2</v>
      </c>
      <c r="L333" s="10">
        <v>2.2000000000000002</v>
      </c>
      <c r="M333" s="6" t="s">
        <v>494</v>
      </c>
      <c r="N333" s="6" t="s">
        <v>494</v>
      </c>
      <c r="O333" s="5"/>
      <c r="P333" s="6"/>
      <c r="Q333" s="12" t="s">
        <v>141</v>
      </c>
      <c r="R333" s="6" t="s">
        <v>141</v>
      </c>
      <c r="S333" s="9">
        <f t="shared" si="133"/>
        <v>44</v>
      </c>
      <c r="T333" s="9">
        <v>0</v>
      </c>
      <c r="U333" s="6" t="s">
        <v>141</v>
      </c>
      <c r="V333" s="9">
        <v>44</v>
      </c>
      <c r="W333" s="5" t="s">
        <v>1353</v>
      </c>
      <c r="X333" s="9">
        <v>120</v>
      </c>
      <c r="Y333" s="5"/>
      <c r="AF333" s="97">
        <v>1.1299999999999999</v>
      </c>
      <c r="AG333" s="98">
        <f>X333*AF333</f>
        <v>135.6</v>
      </c>
      <c r="AH333" s="98">
        <f>AG333/12</f>
        <v>11.299999999999999</v>
      </c>
      <c r="AI333" s="98">
        <f>AH333/30</f>
        <v>0.37666666666666665</v>
      </c>
      <c r="AJ333" s="97">
        <v>1.25</v>
      </c>
      <c r="AK333" s="37">
        <f>ROUND(AI333*AJ333,0)</f>
        <v>0</v>
      </c>
    </row>
    <row r="334" spans="1:37" ht="110.25" x14ac:dyDescent="0.35">
      <c r="A334" s="71" t="s">
        <v>1341</v>
      </c>
      <c r="B334" s="28" t="s">
        <v>365</v>
      </c>
      <c r="C334" s="5" t="s">
        <v>1413</v>
      </c>
      <c r="D334" s="5" t="s">
        <v>1351</v>
      </c>
      <c r="E334" s="5" t="s">
        <v>119</v>
      </c>
      <c r="F334" s="4" t="s">
        <v>1404</v>
      </c>
      <c r="G334" s="6"/>
      <c r="H334" s="32"/>
      <c r="I334" s="32"/>
      <c r="J334" s="32"/>
      <c r="K334" s="9">
        <v>2</v>
      </c>
      <c r="L334" s="10">
        <v>2.2000000000000002</v>
      </c>
      <c r="M334" s="6" t="s">
        <v>494</v>
      </c>
      <c r="N334" s="6" t="s">
        <v>494</v>
      </c>
      <c r="O334" s="5"/>
      <c r="P334" s="6"/>
      <c r="Q334" s="12" t="s">
        <v>141</v>
      </c>
      <c r="R334" s="6" t="s">
        <v>141</v>
      </c>
      <c r="S334" s="9">
        <f t="shared" si="133"/>
        <v>42</v>
      </c>
      <c r="T334" s="9">
        <v>0</v>
      </c>
      <c r="U334" s="6" t="s">
        <v>141</v>
      </c>
      <c r="V334" s="9">
        <v>42</v>
      </c>
      <c r="W334" s="5" t="s">
        <v>1352</v>
      </c>
      <c r="X334" s="9">
        <v>114</v>
      </c>
      <c r="Y334" s="5"/>
      <c r="AF334" s="97">
        <v>1.1299999999999999</v>
      </c>
      <c r="AG334" s="98">
        <f>X334*AF334</f>
        <v>128.82</v>
      </c>
      <c r="AH334" s="98">
        <f>AG334/12</f>
        <v>10.734999999999999</v>
      </c>
      <c r="AI334" s="98">
        <f>AH334/30</f>
        <v>0.35783333333333334</v>
      </c>
      <c r="AJ334" s="97">
        <v>1.25</v>
      </c>
      <c r="AK334" s="37">
        <f>ROUND(AI334*AJ334,0)</f>
        <v>0</v>
      </c>
    </row>
    <row r="335" spans="1:37" ht="110.25" x14ac:dyDescent="0.35">
      <c r="A335" s="71" t="s">
        <v>1342</v>
      </c>
      <c r="B335" s="28" t="s">
        <v>365</v>
      </c>
      <c r="C335" s="5" t="s">
        <v>1413</v>
      </c>
      <c r="D335" s="5" t="s">
        <v>1570</v>
      </c>
      <c r="E335" s="5" t="s">
        <v>119</v>
      </c>
      <c r="F335" s="4" t="s">
        <v>1560</v>
      </c>
      <c r="G335" s="12"/>
      <c r="H335" s="35">
        <f>8*4</f>
        <v>32</v>
      </c>
      <c r="I335" s="35">
        <f>12*8-H335</f>
        <v>64</v>
      </c>
      <c r="J335" s="35">
        <f>(2+8+2+2)*2*2</f>
        <v>56</v>
      </c>
      <c r="K335" s="9">
        <v>4</v>
      </c>
      <c r="L335" s="10">
        <v>4.4000000000000004</v>
      </c>
      <c r="M335" s="6" t="s">
        <v>494</v>
      </c>
      <c r="N335" s="6" t="s">
        <v>494</v>
      </c>
      <c r="O335" s="5"/>
      <c r="P335" s="6"/>
      <c r="Q335" s="12" t="s">
        <v>141</v>
      </c>
      <c r="R335" s="6" t="s">
        <v>141</v>
      </c>
      <c r="S335" s="9">
        <f t="shared" si="133"/>
        <v>103</v>
      </c>
      <c r="T335" s="9"/>
      <c r="U335" s="6" t="s">
        <v>141</v>
      </c>
      <c r="V335" s="9">
        <v>103</v>
      </c>
      <c r="W335" s="5" t="s">
        <v>1571</v>
      </c>
      <c r="X335" s="9">
        <v>287</v>
      </c>
      <c r="Y335" s="5"/>
      <c r="AF335" s="97">
        <v>1.1299999999999999</v>
      </c>
      <c r="AG335" s="98">
        <f t="shared" ref="AG335" si="134">X335*AF335</f>
        <v>324.30999999999995</v>
      </c>
      <c r="AH335" s="98">
        <f t="shared" ref="AH335" si="135">AG335/12</f>
        <v>27.025833333333328</v>
      </c>
      <c r="AI335" s="98">
        <f t="shared" ref="AI335" si="136">AH335/30</f>
        <v>0.90086111111111089</v>
      </c>
      <c r="AJ335" s="97">
        <v>1.25</v>
      </c>
      <c r="AK335" s="37">
        <f t="shared" ref="AK335" si="137">ROUND(AI335*AJ335,0)</f>
        <v>1</v>
      </c>
    </row>
    <row r="336" spans="1:37" ht="110.25" x14ac:dyDescent="0.35">
      <c r="A336" s="71" t="s">
        <v>1343</v>
      </c>
      <c r="B336" s="28" t="s">
        <v>365</v>
      </c>
      <c r="C336" s="5" t="s">
        <v>1413</v>
      </c>
      <c r="D336" s="5" t="s">
        <v>1354</v>
      </c>
      <c r="E336" s="5" t="s">
        <v>119</v>
      </c>
      <c r="F336" s="4" t="s">
        <v>1404</v>
      </c>
      <c r="G336" s="6"/>
      <c r="H336" s="32"/>
      <c r="I336" s="32"/>
      <c r="J336" s="32"/>
      <c r="K336" s="9">
        <v>2</v>
      </c>
      <c r="L336" s="10">
        <v>2.2000000000000002</v>
      </c>
      <c r="M336" s="6" t="s">
        <v>494</v>
      </c>
      <c r="N336" s="6" t="s">
        <v>494</v>
      </c>
      <c r="O336" s="5"/>
      <c r="P336" s="6"/>
      <c r="Q336" s="12" t="s">
        <v>141</v>
      </c>
      <c r="R336" s="6" t="s">
        <v>141</v>
      </c>
      <c r="S336" s="9">
        <f t="shared" si="133"/>
        <v>0</v>
      </c>
      <c r="T336" s="9"/>
      <c r="U336" s="6" t="s">
        <v>141</v>
      </c>
      <c r="V336" s="9"/>
      <c r="W336" s="5" t="s">
        <v>1315</v>
      </c>
      <c r="X336" s="9"/>
      <c r="Y336" s="5"/>
      <c r="AF336" s="97"/>
      <c r="AG336" s="98"/>
      <c r="AH336" s="98"/>
      <c r="AI336" s="98"/>
      <c r="AJ336" s="97"/>
      <c r="AK336" s="37"/>
    </row>
    <row r="337" spans="1:37" ht="110.25" x14ac:dyDescent="0.35">
      <c r="A337" s="71" t="s">
        <v>1344</v>
      </c>
      <c r="B337" s="28" t="s">
        <v>365</v>
      </c>
      <c r="C337" s="5" t="s">
        <v>1413</v>
      </c>
      <c r="D337" s="5" t="s">
        <v>1355</v>
      </c>
      <c r="E337" s="5" t="s">
        <v>119</v>
      </c>
      <c r="F337" s="4" t="s">
        <v>1404</v>
      </c>
      <c r="G337" s="6"/>
      <c r="H337" s="32"/>
      <c r="I337" s="32"/>
      <c r="J337" s="32"/>
      <c r="K337" s="9">
        <v>2</v>
      </c>
      <c r="L337" s="10">
        <v>2.2000000000000002</v>
      </c>
      <c r="M337" s="6" t="s">
        <v>494</v>
      </c>
      <c r="N337" s="6" t="s">
        <v>494</v>
      </c>
      <c r="O337" s="5"/>
      <c r="P337" s="6"/>
      <c r="Q337" s="12" t="s">
        <v>141</v>
      </c>
      <c r="R337" s="6" t="s">
        <v>141</v>
      </c>
      <c r="S337" s="9">
        <f t="shared" si="133"/>
        <v>0</v>
      </c>
      <c r="T337" s="9"/>
      <c r="U337" s="6" t="s">
        <v>141</v>
      </c>
      <c r="V337" s="9"/>
      <c r="W337" s="5" t="s">
        <v>1315</v>
      </c>
      <c r="X337" s="9"/>
      <c r="Y337" s="5"/>
      <c r="AF337" s="97"/>
      <c r="AG337" s="98"/>
      <c r="AH337" s="98"/>
      <c r="AI337" s="98"/>
      <c r="AJ337" s="97"/>
      <c r="AK337" s="37"/>
    </row>
    <row r="338" spans="1:37" ht="110.25" x14ac:dyDescent="0.35">
      <c r="A338" s="71" t="s">
        <v>1345</v>
      </c>
      <c r="B338" s="28" t="s">
        <v>365</v>
      </c>
      <c r="C338" s="5" t="s">
        <v>1413</v>
      </c>
      <c r="D338" s="5" t="s">
        <v>1356</v>
      </c>
      <c r="E338" s="5" t="s">
        <v>119</v>
      </c>
      <c r="F338" s="4" t="s">
        <v>1404</v>
      </c>
      <c r="G338" s="6"/>
      <c r="H338" s="32"/>
      <c r="I338" s="32"/>
      <c r="J338" s="32"/>
      <c r="K338" s="9">
        <v>2</v>
      </c>
      <c r="L338" s="10">
        <v>2.2000000000000002</v>
      </c>
      <c r="M338" s="6" t="s">
        <v>494</v>
      </c>
      <c r="N338" s="6" t="s">
        <v>494</v>
      </c>
      <c r="O338" s="5"/>
      <c r="P338" s="6"/>
      <c r="Q338" s="12" t="s">
        <v>141</v>
      </c>
      <c r="R338" s="6" t="s">
        <v>141</v>
      </c>
      <c r="S338" s="9">
        <f t="shared" si="133"/>
        <v>0</v>
      </c>
      <c r="T338" s="9"/>
      <c r="U338" s="6" t="s">
        <v>141</v>
      </c>
      <c r="V338" s="9"/>
      <c r="W338" s="5" t="s">
        <v>1315</v>
      </c>
      <c r="X338" s="9"/>
      <c r="Y338" s="5"/>
      <c r="AF338" s="97"/>
      <c r="AG338" s="98"/>
      <c r="AH338" s="98"/>
      <c r="AI338" s="98"/>
      <c r="AJ338" s="97"/>
      <c r="AK338" s="37"/>
    </row>
    <row r="339" spans="1:37" ht="110.25" x14ac:dyDescent="0.35">
      <c r="A339" s="71" t="s">
        <v>1346</v>
      </c>
      <c r="B339" s="28" t="s">
        <v>365</v>
      </c>
      <c r="C339" s="5" t="s">
        <v>1413</v>
      </c>
      <c r="D339" s="5" t="s">
        <v>1572</v>
      </c>
      <c r="E339" s="5" t="s">
        <v>119</v>
      </c>
      <c r="F339" s="4" t="s">
        <v>1560</v>
      </c>
      <c r="G339" s="12"/>
      <c r="H339" s="35">
        <f>8*4</f>
        <v>32</v>
      </c>
      <c r="I339" s="35">
        <f>12*8-H339</f>
        <v>64</v>
      </c>
      <c r="J339" s="35">
        <f>(2+8+2+2)*2*2</f>
        <v>56</v>
      </c>
      <c r="K339" s="9">
        <v>4</v>
      </c>
      <c r="L339" s="10">
        <v>4.4000000000000004</v>
      </c>
      <c r="M339" s="6" t="s">
        <v>494</v>
      </c>
      <c r="N339" s="6" t="s">
        <v>494</v>
      </c>
      <c r="O339" s="5"/>
      <c r="P339" s="6"/>
      <c r="Q339" s="12" t="s">
        <v>141</v>
      </c>
      <c r="R339" s="6" t="s">
        <v>141</v>
      </c>
      <c r="S339" s="9">
        <f t="shared" si="133"/>
        <v>0</v>
      </c>
      <c r="T339" s="9"/>
      <c r="U339" s="6" t="s">
        <v>141</v>
      </c>
      <c r="V339" s="9"/>
      <c r="W339" s="5" t="s">
        <v>1315</v>
      </c>
      <c r="X339" s="9"/>
      <c r="Y339" s="5"/>
      <c r="AF339" s="97"/>
      <c r="AG339" s="98"/>
      <c r="AH339" s="98"/>
      <c r="AI339" s="98"/>
      <c r="AJ339" s="97"/>
      <c r="AK339" s="37"/>
    </row>
    <row r="340" spans="1:37" ht="110.25" x14ac:dyDescent="0.35">
      <c r="A340" s="71" t="s">
        <v>1370</v>
      </c>
      <c r="B340" s="28" t="s">
        <v>365</v>
      </c>
      <c r="C340" s="5" t="s">
        <v>1413</v>
      </c>
      <c r="D340" s="5" t="s">
        <v>1357</v>
      </c>
      <c r="E340" s="5" t="s">
        <v>119</v>
      </c>
      <c r="F340" s="4" t="s">
        <v>1404</v>
      </c>
      <c r="G340" s="6"/>
      <c r="H340" s="32"/>
      <c r="I340" s="32"/>
      <c r="J340" s="32"/>
      <c r="K340" s="9">
        <v>2</v>
      </c>
      <c r="L340" s="10">
        <v>2.2000000000000002</v>
      </c>
      <c r="M340" s="6" t="s">
        <v>494</v>
      </c>
      <c r="N340" s="6" t="s">
        <v>494</v>
      </c>
      <c r="O340" s="5"/>
      <c r="P340" s="6"/>
      <c r="Q340" s="12" t="s">
        <v>141</v>
      </c>
      <c r="R340" s="6" t="s">
        <v>141</v>
      </c>
      <c r="S340" s="9">
        <f t="shared" si="133"/>
        <v>0</v>
      </c>
      <c r="T340" s="9"/>
      <c r="U340" s="6" t="s">
        <v>141</v>
      </c>
      <c r="V340" s="9"/>
      <c r="W340" s="5" t="s">
        <v>1315</v>
      </c>
      <c r="X340" s="9"/>
      <c r="Y340" s="5"/>
      <c r="AF340" s="97"/>
      <c r="AG340" s="98"/>
      <c r="AH340" s="98"/>
      <c r="AI340" s="98"/>
      <c r="AJ340" s="97"/>
      <c r="AK340" s="37"/>
    </row>
    <row r="341" spans="1:37" ht="110.25" x14ac:dyDescent="0.35">
      <c r="A341" s="71" t="s">
        <v>1371</v>
      </c>
      <c r="B341" s="28" t="s">
        <v>357</v>
      </c>
      <c r="C341" s="5" t="s">
        <v>1413</v>
      </c>
      <c r="D341" s="4" t="s">
        <v>1364</v>
      </c>
      <c r="E341" s="5" t="s">
        <v>1194</v>
      </c>
      <c r="F341" s="4" t="s">
        <v>1402</v>
      </c>
      <c r="G341" s="6"/>
      <c r="H341" s="32"/>
      <c r="I341" s="32"/>
      <c r="J341" s="32"/>
      <c r="K341" s="9">
        <v>1</v>
      </c>
      <c r="L341" s="10">
        <v>1.1000000000000001</v>
      </c>
      <c r="M341" s="6" t="s">
        <v>494</v>
      </c>
      <c r="N341" s="6" t="s">
        <v>494</v>
      </c>
      <c r="O341" s="33"/>
      <c r="P341" s="34"/>
      <c r="Q341" s="6" t="s">
        <v>141</v>
      </c>
      <c r="R341" s="6" t="s">
        <v>141</v>
      </c>
      <c r="S341" s="9">
        <f t="shared" si="133"/>
        <v>38</v>
      </c>
      <c r="T341" s="9">
        <v>0</v>
      </c>
      <c r="U341" s="6" t="s">
        <v>141</v>
      </c>
      <c r="V341" s="9">
        <v>38</v>
      </c>
      <c r="W341" s="5" t="s">
        <v>1195</v>
      </c>
      <c r="X341" s="39">
        <v>52</v>
      </c>
      <c r="Y341" s="5"/>
      <c r="AF341" s="97">
        <v>1.1299999999999999</v>
      </c>
      <c r="AG341" s="98">
        <f t="shared" ref="AG341:AG364" si="138">X341*AF341</f>
        <v>58.759999999999991</v>
      </c>
      <c r="AH341" s="98">
        <f t="shared" ref="AH341:AH364" si="139">AG341/12</f>
        <v>4.8966666666666656</v>
      </c>
      <c r="AI341" s="98">
        <f t="shared" ref="AI341:AI364" si="140">AH341/30</f>
        <v>0.16322222222222219</v>
      </c>
      <c r="AJ341" s="97">
        <v>1.25</v>
      </c>
      <c r="AK341" s="37">
        <f t="shared" ref="AK341:AK364" si="141">ROUND(AI341*AJ341,0)</f>
        <v>0</v>
      </c>
    </row>
    <row r="342" spans="1:37" ht="110.25" x14ac:dyDescent="0.35">
      <c r="A342" s="71" t="s">
        <v>1372</v>
      </c>
      <c r="B342" s="28" t="s">
        <v>357</v>
      </c>
      <c r="C342" s="5" t="s">
        <v>1413</v>
      </c>
      <c r="D342" s="4" t="s">
        <v>1196</v>
      </c>
      <c r="E342" s="5" t="s">
        <v>1197</v>
      </c>
      <c r="F342" s="4" t="s">
        <v>1402</v>
      </c>
      <c r="G342" s="6"/>
      <c r="H342" s="32"/>
      <c r="I342" s="32"/>
      <c r="J342" s="32"/>
      <c r="K342" s="9">
        <v>1</v>
      </c>
      <c r="L342" s="10">
        <v>1.1000000000000001</v>
      </c>
      <c r="M342" s="6" t="s">
        <v>494</v>
      </c>
      <c r="N342" s="6" t="s">
        <v>494</v>
      </c>
      <c r="O342" s="33"/>
      <c r="P342" s="34"/>
      <c r="Q342" s="6" t="s">
        <v>141</v>
      </c>
      <c r="R342" s="6" t="s">
        <v>141</v>
      </c>
      <c r="S342" s="9">
        <f t="shared" si="133"/>
        <v>65</v>
      </c>
      <c r="T342" s="9">
        <v>0</v>
      </c>
      <c r="U342" s="6" t="s">
        <v>141</v>
      </c>
      <c r="V342" s="9">
        <v>65</v>
      </c>
      <c r="W342" s="5" t="s">
        <v>1198</v>
      </c>
      <c r="X342" s="13"/>
      <c r="Y342" s="5"/>
      <c r="AF342" s="97"/>
      <c r="AG342" s="98"/>
      <c r="AH342" s="98"/>
      <c r="AI342" s="98"/>
      <c r="AJ342" s="97"/>
      <c r="AK342" s="37"/>
    </row>
    <row r="343" spans="1:37" ht="110.25" x14ac:dyDescent="0.35">
      <c r="A343" s="71" t="s">
        <v>1373</v>
      </c>
      <c r="B343" s="28" t="s">
        <v>357</v>
      </c>
      <c r="C343" s="5" t="s">
        <v>1413</v>
      </c>
      <c r="D343" s="4" t="s">
        <v>1205</v>
      </c>
      <c r="E343" s="5" t="s">
        <v>119</v>
      </c>
      <c r="F343" s="4" t="s">
        <v>1402</v>
      </c>
      <c r="G343" s="6"/>
      <c r="H343" s="32"/>
      <c r="I343" s="32"/>
      <c r="J343" s="32"/>
      <c r="K343" s="9">
        <v>1</v>
      </c>
      <c r="L343" s="10">
        <v>1.1000000000000001</v>
      </c>
      <c r="M343" s="6" t="s">
        <v>494</v>
      </c>
      <c r="N343" s="6" t="s">
        <v>494</v>
      </c>
      <c r="O343" s="33"/>
      <c r="P343" s="34"/>
      <c r="Q343" s="6" t="s">
        <v>141</v>
      </c>
      <c r="R343" s="6" t="s">
        <v>141</v>
      </c>
      <c r="S343" s="9">
        <f t="shared" si="133"/>
        <v>165</v>
      </c>
      <c r="T343" s="9">
        <v>0</v>
      </c>
      <c r="U343" s="6" t="s">
        <v>141</v>
      </c>
      <c r="V343" s="9">
        <v>165</v>
      </c>
      <c r="W343" s="5" t="s">
        <v>1206</v>
      </c>
      <c r="X343" s="28">
        <v>43</v>
      </c>
      <c r="Y343" s="5"/>
      <c r="AF343" s="97">
        <v>1.1299999999999999</v>
      </c>
      <c r="AG343" s="98">
        <f t="shared" si="138"/>
        <v>48.589999999999996</v>
      </c>
      <c r="AH343" s="98">
        <f t="shared" si="139"/>
        <v>4.0491666666666664</v>
      </c>
      <c r="AI343" s="98">
        <f t="shared" si="140"/>
        <v>0.13497222222222222</v>
      </c>
      <c r="AJ343" s="97">
        <v>1.25</v>
      </c>
      <c r="AK343" s="37">
        <f t="shared" si="141"/>
        <v>0</v>
      </c>
    </row>
    <row r="344" spans="1:37" ht="110.25" x14ac:dyDescent="0.35">
      <c r="A344" s="71" t="s">
        <v>1374</v>
      </c>
      <c r="B344" s="28" t="s">
        <v>357</v>
      </c>
      <c r="C344" s="5" t="s">
        <v>1413</v>
      </c>
      <c r="D344" s="5" t="s">
        <v>1207</v>
      </c>
      <c r="E344" s="5" t="s">
        <v>358</v>
      </c>
      <c r="F344" s="4" t="s">
        <v>1402</v>
      </c>
      <c r="G344" s="6"/>
      <c r="H344" s="32"/>
      <c r="I344" s="32"/>
      <c r="J344" s="32"/>
      <c r="K344" s="9">
        <v>1</v>
      </c>
      <c r="L344" s="10">
        <v>1.1000000000000001</v>
      </c>
      <c r="M344" s="6" t="s">
        <v>494</v>
      </c>
      <c r="N344" s="6" t="s">
        <v>494</v>
      </c>
      <c r="O344" s="40"/>
      <c r="P344" s="34"/>
      <c r="Q344" s="6" t="s">
        <v>141</v>
      </c>
      <c r="R344" s="6" t="s">
        <v>141</v>
      </c>
      <c r="S344" s="9">
        <v>13</v>
      </c>
      <c r="T344" s="9">
        <v>0</v>
      </c>
      <c r="U344" s="6" t="s">
        <v>141</v>
      </c>
      <c r="V344" s="9">
        <v>13</v>
      </c>
      <c r="W344" s="5" t="s">
        <v>1208</v>
      </c>
      <c r="X344" s="28">
        <v>179</v>
      </c>
      <c r="Y344" s="5"/>
      <c r="AF344" s="97">
        <v>1.1299999999999999</v>
      </c>
      <c r="AG344" s="98">
        <f t="shared" si="138"/>
        <v>202.26999999999998</v>
      </c>
      <c r="AH344" s="98">
        <f t="shared" si="139"/>
        <v>16.855833333333333</v>
      </c>
      <c r="AI344" s="98">
        <f t="shared" si="140"/>
        <v>0.56186111111111114</v>
      </c>
      <c r="AJ344" s="97">
        <v>1.25</v>
      </c>
      <c r="AK344" s="37">
        <f t="shared" si="141"/>
        <v>1</v>
      </c>
    </row>
    <row r="345" spans="1:37" ht="110.25" x14ac:dyDescent="0.35">
      <c r="A345" s="71" t="s">
        <v>1375</v>
      </c>
      <c r="B345" s="28" t="s">
        <v>357</v>
      </c>
      <c r="C345" s="5" t="s">
        <v>1413</v>
      </c>
      <c r="D345" s="5" t="s">
        <v>1209</v>
      </c>
      <c r="E345" s="5" t="s">
        <v>358</v>
      </c>
      <c r="F345" s="4" t="s">
        <v>1402</v>
      </c>
      <c r="G345" s="6"/>
      <c r="H345" s="32"/>
      <c r="I345" s="32"/>
      <c r="J345" s="32"/>
      <c r="K345" s="9">
        <v>1</v>
      </c>
      <c r="L345" s="10">
        <v>1.1000000000000001</v>
      </c>
      <c r="M345" s="6" t="s">
        <v>494</v>
      </c>
      <c r="N345" s="6" t="s">
        <v>494</v>
      </c>
      <c r="O345" s="33"/>
      <c r="P345" s="34"/>
      <c r="Q345" s="6" t="s">
        <v>141</v>
      </c>
      <c r="R345" s="6" t="s">
        <v>141</v>
      </c>
      <c r="S345" s="9">
        <v>13</v>
      </c>
      <c r="T345" s="9">
        <v>0</v>
      </c>
      <c r="U345" s="6" t="s">
        <v>141</v>
      </c>
      <c r="V345" s="9">
        <v>13</v>
      </c>
      <c r="W345" s="5" t="s">
        <v>1210</v>
      </c>
      <c r="X345" s="28"/>
      <c r="Y345" s="5"/>
      <c r="AF345" s="97"/>
      <c r="AG345" s="98"/>
      <c r="AH345" s="98"/>
      <c r="AI345" s="98"/>
      <c r="AJ345" s="97"/>
      <c r="AK345" s="37"/>
    </row>
    <row r="346" spans="1:37" ht="110.25" x14ac:dyDescent="0.35">
      <c r="A346" s="71" t="s">
        <v>1376</v>
      </c>
      <c r="B346" s="28" t="s">
        <v>357</v>
      </c>
      <c r="C346" s="5" t="s">
        <v>1413</v>
      </c>
      <c r="D346" s="5" t="s">
        <v>1211</v>
      </c>
      <c r="E346" s="5" t="s">
        <v>358</v>
      </c>
      <c r="F346" s="4" t="s">
        <v>1402</v>
      </c>
      <c r="G346" s="6"/>
      <c r="H346" s="32"/>
      <c r="I346" s="32"/>
      <c r="J346" s="32"/>
      <c r="K346" s="9">
        <v>1</v>
      </c>
      <c r="L346" s="10">
        <v>1.1000000000000001</v>
      </c>
      <c r="M346" s="6" t="s">
        <v>494</v>
      </c>
      <c r="N346" s="6" t="s">
        <v>494</v>
      </c>
      <c r="O346" s="33"/>
      <c r="P346" s="34"/>
      <c r="Q346" s="6" t="s">
        <v>141</v>
      </c>
      <c r="R346" s="6" t="s">
        <v>141</v>
      </c>
      <c r="S346" s="9">
        <v>17</v>
      </c>
      <c r="T346" s="9">
        <v>0</v>
      </c>
      <c r="U346" s="6" t="s">
        <v>141</v>
      </c>
      <c r="V346" s="9">
        <v>17</v>
      </c>
      <c r="W346" s="5" t="s">
        <v>1212</v>
      </c>
      <c r="X346" s="28"/>
      <c r="Y346" s="5"/>
      <c r="AF346" s="97"/>
      <c r="AG346" s="98"/>
      <c r="AH346" s="98"/>
      <c r="AI346" s="98"/>
      <c r="AJ346" s="97"/>
      <c r="AK346" s="37"/>
    </row>
    <row r="347" spans="1:37" ht="110.25" x14ac:dyDescent="0.35">
      <c r="A347" s="71" t="s">
        <v>1377</v>
      </c>
      <c r="B347" s="28" t="s">
        <v>357</v>
      </c>
      <c r="C347" s="5" t="s">
        <v>1413</v>
      </c>
      <c r="D347" s="5" t="s">
        <v>1213</v>
      </c>
      <c r="E347" s="5" t="s">
        <v>358</v>
      </c>
      <c r="F347" s="4" t="s">
        <v>1402</v>
      </c>
      <c r="G347" s="6"/>
      <c r="H347" s="32"/>
      <c r="I347" s="32"/>
      <c r="J347" s="32"/>
      <c r="K347" s="9">
        <v>1</v>
      </c>
      <c r="L347" s="10">
        <v>1.1000000000000001</v>
      </c>
      <c r="M347" s="6" t="s">
        <v>494</v>
      </c>
      <c r="N347" s="6" t="s">
        <v>494</v>
      </c>
      <c r="O347" s="33"/>
      <c r="P347" s="34"/>
      <c r="Q347" s="6" t="s">
        <v>141</v>
      </c>
      <c r="R347" s="6" t="s">
        <v>141</v>
      </c>
      <c r="S347" s="9">
        <v>3</v>
      </c>
      <c r="T347" s="9">
        <v>0</v>
      </c>
      <c r="U347" s="6" t="s">
        <v>141</v>
      </c>
      <c r="V347" s="9">
        <v>3</v>
      </c>
      <c r="W347" s="5" t="s">
        <v>1214</v>
      </c>
      <c r="X347" s="28"/>
      <c r="Y347" s="5"/>
      <c r="AF347" s="97"/>
      <c r="AG347" s="98"/>
      <c r="AH347" s="98"/>
      <c r="AI347" s="98"/>
      <c r="AJ347" s="97"/>
      <c r="AK347" s="37"/>
    </row>
    <row r="348" spans="1:37" ht="110.25" x14ac:dyDescent="0.35">
      <c r="A348" s="71" t="s">
        <v>1378</v>
      </c>
      <c r="B348" s="28" t="s">
        <v>357</v>
      </c>
      <c r="C348" s="5" t="s">
        <v>1413</v>
      </c>
      <c r="D348" s="5" t="s">
        <v>1215</v>
      </c>
      <c r="E348" s="5" t="s">
        <v>358</v>
      </c>
      <c r="F348" s="4" t="s">
        <v>1402</v>
      </c>
      <c r="G348" s="6"/>
      <c r="H348" s="32"/>
      <c r="I348" s="32"/>
      <c r="J348" s="32"/>
      <c r="K348" s="9">
        <v>1</v>
      </c>
      <c r="L348" s="10">
        <v>1.1000000000000001</v>
      </c>
      <c r="M348" s="6" t="s">
        <v>494</v>
      </c>
      <c r="N348" s="6" t="s">
        <v>494</v>
      </c>
      <c r="O348" s="33"/>
      <c r="P348" s="34"/>
      <c r="Q348" s="6" t="s">
        <v>141</v>
      </c>
      <c r="R348" s="6" t="s">
        <v>141</v>
      </c>
      <c r="S348" s="9">
        <v>10</v>
      </c>
      <c r="T348" s="9">
        <v>0</v>
      </c>
      <c r="U348" s="6" t="s">
        <v>141</v>
      </c>
      <c r="V348" s="9">
        <v>10</v>
      </c>
      <c r="W348" s="5" t="s">
        <v>1216</v>
      </c>
      <c r="X348" s="41"/>
      <c r="Y348" s="5"/>
      <c r="AF348" s="97"/>
      <c r="AG348" s="98"/>
      <c r="AH348" s="98"/>
      <c r="AI348" s="98"/>
      <c r="AJ348" s="97"/>
      <c r="AK348" s="37"/>
    </row>
    <row r="349" spans="1:37" ht="110.25" x14ac:dyDescent="0.35">
      <c r="A349" s="71" t="s">
        <v>1379</v>
      </c>
      <c r="B349" s="28" t="s">
        <v>357</v>
      </c>
      <c r="C349" s="5" t="s">
        <v>1413</v>
      </c>
      <c r="D349" s="4" t="s">
        <v>1217</v>
      </c>
      <c r="E349" s="5" t="s">
        <v>119</v>
      </c>
      <c r="F349" s="4" t="s">
        <v>1402</v>
      </c>
      <c r="G349" s="6"/>
      <c r="H349" s="32"/>
      <c r="I349" s="32"/>
      <c r="J349" s="32"/>
      <c r="K349" s="9">
        <v>1</v>
      </c>
      <c r="L349" s="10">
        <v>1.1000000000000001</v>
      </c>
      <c r="M349" s="6" t="s">
        <v>494</v>
      </c>
      <c r="N349" s="6" t="s">
        <v>494</v>
      </c>
      <c r="O349" s="33"/>
      <c r="P349" s="34"/>
      <c r="Q349" s="6" t="s">
        <v>141</v>
      </c>
      <c r="R349" s="6" t="s">
        <v>141</v>
      </c>
      <c r="S349" s="9">
        <f t="shared" ref="S349:S354" si="142">T349+V349</f>
        <v>75</v>
      </c>
      <c r="T349" s="9">
        <v>0</v>
      </c>
      <c r="U349" s="6" t="s">
        <v>141</v>
      </c>
      <c r="V349" s="9">
        <v>75</v>
      </c>
      <c r="W349" s="5" t="s">
        <v>1218</v>
      </c>
      <c r="X349" s="39">
        <v>51</v>
      </c>
      <c r="Y349" s="5"/>
      <c r="AF349" s="97">
        <v>1.1299999999999999</v>
      </c>
      <c r="AG349" s="98">
        <f t="shared" si="138"/>
        <v>57.629999999999995</v>
      </c>
      <c r="AH349" s="98">
        <f t="shared" si="139"/>
        <v>4.8024999999999993</v>
      </c>
      <c r="AI349" s="98">
        <f t="shared" si="140"/>
        <v>0.1600833333333333</v>
      </c>
      <c r="AJ349" s="97">
        <v>1.25</v>
      </c>
      <c r="AK349" s="37">
        <f t="shared" si="141"/>
        <v>0</v>
      </c>
    </row>
    <row r="350" spans="1:37" ht="110.25" x14ac:dyDescent="0.35">
      <c r="A350" s="71" t="s">
        <v>1380</v>
      </c>
      <c r="B350" s="28" t="s">
        <v>357</v>
      </c>
      <c r="C350" s="5" t="s">
        <v>1413</v>
      </c>
      <c r="D350" s="4" t="s">
        <v>1219</v>
      </c>
      <c r="E350" s="5" t="s">
        <v>119</v>
      </c>
      <c r="F350" s="4" t="s">
        <v>1402</v>
      </c>
      <c r="G350" s="6"/>
      <c r="H350" s="32"/>
      <c r="I350" s="32"/>
      <c r="J350" s="32"/>
      <c r="K350" s="9">
        <v>1</v>
      </c>
      <c r="L350" s="10">
        <v>1.1000000000000001</v>
      </c>
      <c r="M350" s="6" t="s">
        <v>494</v>
      </c>
      <c r="N350" s="6" t="s">
        <v>494</v>
      </c>
      <c r="O350" s="33"/>
      <c r="P350" s="34"/>
      <c r="Q350" s="6" t="s">
        <v>141</v>
      </c>
      <c r="R350" s="6" t="s">
        <v>141</v>
      </c>
      <c r="S350" s="9">
        <f t="shared" si="142"/>
        <v>75</v>
      </c>
      <c r="T350" s="9">
        <v>0</v>
      </c>
      <c r="U350" s="6" t="s">
        <v>141</v>
      </c>
      <c r="V350" s="9">
        <v>75</v>
      </c>
      <c r="W350" s="5" t="s">
        <v>1220</v>
      </c>
      <c r="X350" s="13"/>
      <c r="Y350" s="5"/>
      <c r="AF350" s="97"/>
      <c r="AG350" s="98"/>
      <c r="AH350" s="98"/>
      <c r="AI350" s="98"/>
      <c r="AJ350" s="97"/>
      <c r="AK350" s="37"/>
    </row>
    <row r="351" spans="1:37" ht="141.75" x14ac:dyDescent="0.35">
      <c r="A351" s="71" t="s">
        <v>1381</v>
      </c>
      <c r="B351" s="28" t="s">
        <v>357</v>
      </c>
      <c r="C351" s="5" t="s">
        <v>1413</v>
      </c>
      <c r="D351" s="4" t="s">
        <v>1244</v>
      </c>
      <c r="E351" s="5" t="s">
        <v>119</v>
      </c>
      <c r="F351" s="4" t="s">
        <v>1402</v>
      </c>
      <c r="G351" s="6"/>
      <c r="H351" s="32"/>
      <c r="I351" s="32"/>
      <c r="J351" s="32"/>
      <c r="K351" s="9">
        <v>1</v>
      </c>
      <c r="L351" s="10">
        <v>1.1000000000000001</v>
      </c>
      <c r="M351" s="6" t="s">
        <v>494</v>
      </c>
      <c r="N351" s="6" t="s">
        <v>494</v>
      </c>
      <c r="O351" s="33"/>
      <c r="P351" s="34"/>
      <c r="Q351" s="6" t="s">
        <v>141</v>
      </c>
      <c r="R351" s="6" t="s">
        <v>141</v>
      </c>
      <c r="S351" s="9">
        <f t="shared" si="142"/>
        <v>145</v>
      </c>
      <c r="T351" s="9">
        <v>0</v>
      </c>
      <c r="U351" s="6" t="s">
        <v>141</v>
      </c>
      <c r="V351" s="9">
        <v>145</v>
      </c>
      <c r="W351" s="5" t="s">
        <v>1243</v>
      </c>
      <c r="X351" s="28">
        <v>39</v>
      </c>
      <c r="Y351" s="5"/>
      <c r="AF351" s="97">
        <v>1.1299999999999999</v>
      </c>
      <c r="AG351" s="98">
        <f t="shared" si="138"/>
        <v>44.069999999999993</v>
      </c>
      <c r="AH351" s="98">
        <f t="shared" si="139"/>
        <v>3.6724999999999994</v>
      </c>
      <c r="AI351" s="98">
        <f t="shared" si="140"/>
        <v>0.12241666666666665</v>
      </c>
      <c r="AJ351" s="97">
        <v>1.25</v>
      </c>
      <c r="AK351" s="37">
        <f t="shared" si="141"/>
        <v>0</v>
      </c>
    </row>
    <row r="352" spans="1:37" ht="110.25" x14ac:dyDescent="0.35">
      <c r="A352" s="71" t="s">
        <v>1382</v>
      </c>
      <c r="B352" s="28" t="s">
        <v>357</v>
      </c>
      <c r="C352" s="5" t="s">
        <v>1413</v>
      </c>
      <c r="D352" s="4" t="s">
        <v>1365</v>
      </c>
      <c r="E352" s="5" t="s">
        <v>119</v>
      </c>
      <c r="F352" s="4" t="s">
        <v>1402</v>
      </c>
      <c r="G352" s="6"/>
      <c r="H352" s="32"/>
      <c r="I352" s="32"/>
      <c r="J352" s="32"/>
      <c r="K352" s="9">
        <v>1</v>
      </c>
      <c r="L352" s="10">
        <v>1.1000000000000001</v>
      </c>
      <c r="M352" s="6" t="s">
        <v>494</v>
      </c>
      <c r="N352" s="6" t="s">
        <v>494</v>
      </c>
      <c r="O352" s="33"/>
      <c r="P352" s="34"/>
      <c r="Q352" s="6" t="s">
        <v>141</v>
      </c>
      <c r="R352" s="6" t="s">
        <v>141</v>
      </c>
      <c r="S352" s="9">
        <f t="shared" si="142"/>
        <v>18</v>
      </c>
      <c r="T352" s="9">
        <v>0</v>
      </c>
      <c r="U352" s="6" t="s">
        <v>141</v>
      </c>
      <c r="V352" s="9">
        <v>18</v>
      </c>
      <c r="W352" s="5" t="s">
        <v>1247</v>
      </c>
      <c r="X352" s="28">
        <v>13</v>
      </c>
      <c r="Y352" s="5"/>
      <c r="AF352" s="97">
        <v>1.1299999999999999</v>
      </c>
      <c r="AG352" s="98">
        <f t="shared" si="138"/>
        <v>14.689999999999998</v>
      </c>
      <c r="AH352" s="98">
        <f t="shared" si="139"/>
        <v>1.2241666666666664</v>
      </c>
      <c r="AI352" s="98">
        <f t="shared" si="140"/>
        <v>4.0805555555555546E-2</v>
      </c>
      <c r="AJ352" s="97">
        <v>1.25</v>
      </c>
      <c r="AK352" s="37">
        <f t="shared" si="141"/>
        <v>0</v>
      </c>
    </row>
    <row r="353" spans="1:37" ht="110.25" x14ac:dyDescent="0.35">
      <c r="A353" s="71" t="s">
        <v>1383</v>
      </c>
      <c r="B353" s="28" t="s">
        <v>357</v>
      </c>
      <c r="C353" s="5" t="s">
        <v>1413</v>
      </c>
      <c r="D353" s="4" t="s">
        <v>1251</v>
      </c>
      <c r="E353" s="5" t="s">
        <v>119</v>
      </c>
      <c r="F353" s="4" t="s">
        <v>1402</v>
      </c>
      <c r="G353" s="6"/>
      <c r="H353" s="32"/>
      <c r="I353" s="32"/>
      <c r="J353" s="32"/>
      <c r="K353" s="9">
        <v>1</v>
      </c>
      <c r="L353" s="10">
        <v>1.1000000000000001</v>
      </c>
      <c r="M353" s="6" t="s">
        <v>494</v>
      </c>
      <c r="N353" s="6" t="s">
        <v>494</v>
      </c>
      <c r="O353" s="33"/>
      <c r="P353" s="34"/>
      <c r="Q353" s="6" t="s">
        <v>141</v>
      </c>
      <c r="R353" s="6" t="s">
        <v>141</v>
      </c>
      <c r="S353" s="9">
        <f t="shared" si="142"/>
        <v>70</v>
      </c>
      <c r="T353" s="9">
        <v>0</v>
      </c>
      <c r="U353" s="6" t="s">
        <v>141</v>
      </c>
      <c r="V353" s="9">
        <v>70</v>
      </c>
      <c r="W353" s="5" t="s">
        <v>1252</v>
      </c>
      <c r="X353" s="39">
        <v>45</v>
      </c>
      <c r="Y353" s="5"/>
      <c r="AF353" s="97">
        <v>1.1299999999999999</v>
      </c>
      <c r="AG353" s="98">
        <f t="shared" si="138"/>
        <v>50.849999999999994</v>
      </c>
      <c r="AH353" s="98">
        <f t="shared" si="139"/>
        <v>4.2374999999999998</v>
      </c>
      <c r="AI353" s="98">
        <f t="shared" si="140"/>
        <v>0.14124999999999999</v>
      </c>
      <c r="AJ353" s="97">
        <v>1.25</v>
      </c>
      <c r="AK353" s="37">
        <f t="shared" si="141"/>
        <v>0</v>
      </c>
    </row>
    <row r="354" spans="1:37" ht="110.25" x14ac:dyDescent="0.35">
      <c r="A354" s="71" t="s">
        <v>1384</v>
      </c>
      <c r="B354" s="28" t="s">
        <v>357</v>
      </c>
      <c r="C354" s="5" t="s">
        <v>1413</v>
      </c>
      <c r="D354" s="4" t="s">
        <v>1253</v>
      </c>
      <c r="E354" s="5" t="s">
        <v>119</v>
      </c>
      <c r="F354" s="4" t="s">
        <v>1402</v>
      </c>
      <c r="G354" s="6"/>
      <c r="H354" s="32"/>
      <c r="I354" s="32"/>
      <c r="J354" s="32"/>
      <c r="K354" s="9">
        <v>1</v>
      </c>
      <c r="L354" s="10">
        <v>1.1000000000000001</v>
      </c>
      <c r="M354" s="6" t="s">
        <v>494</v>
      </c>
      <c r="N354" s="6" t="s">
        <v>494</v>
      </c>
      <c r="O354" s="33"/>
      <c r="P354" s="34"/>
      <c r="Q354" s="6" t="s">
        <v>141</v>
      </c>
      <c r="R354" s="6" t="s">
        <v>141</v>
      </c>
      <c r="S354" s="9">
        <f t="shared" si="142"/>
        <v>77</v>
      </c>
      <c r="T354" s="9">
        <v>0</v>
      </c>
      <c r="U354" s="6" t="s">
        <v>141</v>
      </c>
      <c r="V354" s="9">
        <v>77</v>
      </c>
      <c r="W354" s="5" t="s">
        <v>1254</v>
      </c>
      <c r="X354" s="13"/>
      <c r="Y354" s="5"/>
      <c r="AF354" s="97"/>
      <c r="AG354" s="98"/>
      <c r="AH354" s="98"/>
      <c r="AI354" s="98"/>
      <c r="AJ354" s="97"/>
      <c r="AK354" s="37"/>
    </row>
    <row r="355" spans="1:37" ht="110.25" x14ac:dyDescent="0.35">
      <c r="A355" s="71" t="s">
        <v>1385</v>
      </c>
      <c r="B355" s="28" t="s">
        <v>357</v>
      </c>
      <c r="C355" s="5" t="s">
        <v>1413</v>
      </c>
      <c r="D355" s="4" t="s">
        <v>1855</v>
      </c>
      <c r="E355" s="5" t="s">
        <v>119</v>
      </c>
      <c r="F355" s="4" t="s">
        <v>1737</v>
      </c>
      <c r="G355" s="6"/>
      <c r="H355" s="32"/>
      <c r="I355" s="32"/>
      <c r="J355" s="32"/>
      <c r="K355" s="9">
        <v>2</v>
      </c>
      <c r="L355" s="10">
        <v>2.2000000000000002</v>
      </c>
      <c r="M355" s="6" t="s">
        <v>494</v>
      </c>
      <c r="N355" s="6" t="s">
        <v>494</v>
      </c>
      <c r="O355" s="33"/>
      <c r="P355" s="34"/>
      <c r="Q355" s="6" t="s">
        <v>141</v>
      </c>
      <c r="R355" s="6" t="s">
        <v>141</v>
      </c>
      <c r="S355" s="9">
        <v>49</v>
      </c>
      <c r="T355" s="9">
        <v>0</v>
      </c>
      <c r="U355" s="6" t="s">
        <v>141</v>
      </c>
      <c r="V355" s="9">
        <v>49</v>
      </c>
      <c r="W355" s="5" t="s">
        <v>1255</v>
      </c>
      <c r="X355" s="28"/>
      <c r="Y355" s="5" t="s">
        <v>714</v>
      </c>
      <c r="Z355" s="45" t="s">
        <v>425</v>
      </c>
      <c r="AF355" s="97">
        <v>1.1299999999999999</v>
      </c>
      <c r="AG355" s="98">
        <f t="shared" si="138"/>
        <v>0</v>
      </c>
      <c r="AH355" s="98">
        <f t="shared" si="139"/>
        <v>0</v>
      </c>
      <c r="AI355" s="98">
        <f t="shared" si="140"/>
        <v>0</v>
      </c>
      <c r="AJ355" s="97">
        <v>1.25</v>
      </c>
      <c r="AK355" s="37">
        <f t="shared" si="141"/>
        <v>0</v>
      </c>
    </row>
    <row r="356" spans="1:37" ht="31.5" x14ac:dyDescent="0.35">
      <c r="A356" s="71" t="s">
        <v>1386</v>
      </c>
      <c r="B356" s="28" t="s">
        <v>357</v>
      </c>
      <c r="C356" s="5" t="s">
        <v>1588</v>
      </c>
      <c r="D356" s="4" t="s">
        <v>1256</v>
      </c>
      <c r="E356" s="5" t="s">
        <v>119</v>
      </c>
      <c r="F356" s="6" t="s">
        <v>141</v>
      </c>
      <c r="G356" s="6"/>
      <c r="H356" s="32"/>
      <c r="I356" s="32"/>
      <c r="J356" s="32"/>
      <c r="K356" s="6" t="s">
        <v>141</v>
      </c>
      <c r="L356" s="6" t="s">
        <v>141</v>
      </c>
      <c r="M356" s="6" t="s">
        <v>141</v>
      </c>
      <c r="N356" s="6" t="s">
        <v>141</v>
      </c>
      <c r="O356" s="33"/>
      <c r="P356" s="34"/>
      <c r="Q356" s="6" t="s">
        <v>141</v>
      </c>
      <c r="R356" s="6" t="s">
        <v>141</v>
      </c>
      <c r="S356" s="6" t="s">
        <v>141</v>
      </c>
      <c r="T356" s="6" t="s">
        <v>141</v>
      </c>
      <c r="U356" s="6" t="s">
        <v>141</v>
      </c>
      <c r="V356" s="6" t="s">
        <v>141</v>
      </c>
      <c r="W356" s="6" t="s">
        <v>141</v>
      </c>
      <c r="X356" s="42"/>
      <c r="Y356" s="5"/>
      <c r="AF356" s="97">
        <v>1.1299999999999999</v>
      </c>
      <c r="AG356" s="98">
        <f t="shared" si="138"/>
        <v>0</v>
      </c>
      <c r="AH356" s="98">
        <f t="shared" si="139"/>
        <v>0</v>
      </c>
      <c r="AI356" s="98">
        <f t="shared" si="140"/>
        <v>0</v>
      </c>
      <c r="AJ356" s="97">
        <v>1.25</v>
      </c>
      <c r="AK356" s="37">
        <f t="shared" si="141"/>
        <v>0</v>
      </c>
    </row>
    <row r="357" spans="1:37" ht="85.5" customHeight="1" x14ac:dyDescent="0.35">
      <c r="A357" s="71" t="s">
        <v>1387</v>
      </c>
      <c r="B357" s="28" t="s">
        <v>357</v>
      </c>
      <c r="C357" s="5" t="s">
        <v>1413</v>
      </c>
      <c r="D357" s="4" t="s">
        <v>1667</v>
      </c>
      <c r="E357" s="5" t="s">
        <v>119</v>
      </c>
      <c r="F357" s="4" t="s">
        <v>1560</v>
      </c>
      <c r="G357" s="6"/>
      <c r="H357" s="35">
        <f>8*4</f>
        <v>32</v>
      </c>
      <c r="I357" s="35">
        <f>12*8-H357</f>
        <v>64</v>
      </c>
      <c r="J357" s="35">
        <f>(2+8+2+2)*2*2</f>
        <v>56</v>
      </c>
      <c r="K357" s="9">
        <v>3</v>
      </c>
      <c r="L357" s="10">
        <v>3.3</v>
      </c>
      <c r="M357" s="6" t="s">
        <v>494</v>
      </c>
      <c r="N357" s="6" t="s">
        <v>494</v>
      </c>
      <c r="O357" s="33"/>
      <c r="P357" s="34"/>
      <c r="Q357" s="6" t="s">
        <v>141</v>
      </c>
      <c r="R357" s="6" t="s">
        <v>141</v>
      </c>
      <c r="S357" s="9">
        <f>T357+V357</f>
        <v>25</v>
      </c>
      <c r="T357" s="9">
        <v>0</v>
      </c>
      <c r="U357" s="6" t="s">
        <v>141</v>
      </c>
      <c r="V357" s="9">
        <v>25</v>
      </c>
      <c r="W357" s="5" t="s">
        <v>1261</v>
      </c>
      <c r="X357" s="28">
        <v>37</v>
      </c>
      <c r="Y357" s="5"/>
      <c r="AF357" s="97">
        <v>1.1299999999999999</v>
      </c>
      <c r="AG357" s="98">
        <f t="shared" si="138"/>
        <v>41.809999999999995</v>
      </c>
      <c r="AH357" s="98">
        <f t="shared" si="139"/>
        <v>3.4841666666666664</v>
      </c>
      <c r="AI357" s="98">
        <f t="shared" si="140"/>
        <v>0.11613888888888887</v>
      </c>
      <c r="AJ357" s="97">
        <v>1.25</v>
      </c>
      <c r="AK357" s="37">
        <f t="shared" si="141"/>
        <v>0</v>
      </c>
    </row>
    <row r="358" spans="1:37" ht="110.25" x14ac:dyDescent="0.35">
      <c r="A358" s="71" t="s">
        <v>1388</v>
      </c>
      <c r="B358" s="28" t="s">
        <v>357</v>
      </c>
      <c r="C358" s="5" t="s">
        <v>1413</v>
      </c>
      <c r="D358" s="4" t="s">
        <v>1262</v>
      </c>
      <c r="E358" s="5" t="s">
        <v>119</v>
      </c>
      <c r="F358" s="4" t="s">
        <v>1402</v>
      </c>
      <c r="G358" s="6"/>
      <c r="H358" s="32"/>
      <c r="I358" s="32"/>
      <c r="J358" s="32"/>
      <c r="K358" s="9">
        <v>1</v>
      </c>
      <c r="L358" s="10">
        <v>1.1000000000000001</v>
      </c>
      <c r="M358" s="6" t="s">
        <v>494</v>
      </c>
      <c r="N358" s="6" t="s">
        <v>494</v>
      </c>
      <c r="O358" s="33"/>
      <c r="P358" s="34"/>
      <c r="Q358" s="6" t="s">
        <v>141</v>
      </c>
      <c r="R358" s="6" t="s">
        <v>141</v>
      </c>
      <c r="S358" s="9">
        <f>T358+V358</f>
        <v>68</v>
      </c>
      <c r="T358" s="9">
        <v>0</v>
      </c>
      <c r="U358" s="6" t="s">
        <v>141</v>
      </c>
      <c r="V358" s="9">
        <v>68</v>
      </c>
      <c r="W358" s="5" t="s">
        <v>1263</v>
      </c>
      <c r="X358" s="28">
        <v>30</v>
      </c>
      <c r="Y358" s="5"/>
      <c r="AF358" s="97">
        <v>1.1299999999999999</v>
      </c>
      <c r="AG358" s="98">
        <f t="shared" si="138"/>
        <v>33.9</v>
      </c>
      <c r="AH358" s="98">
        <f t="shared" si="139"/>
        <v>2.8249999999999997</v>
      </c>
      <c r="AI358" s="98">
        <f t="shared" si="140"/>
        <v>9.4166666666666662E-2</v>
      </c>
      <c r="AJ358" s="97">
        <v>1.25</v>
      </c>
      <c r="AK358" s="37">
        <f t="shared" si="141"/>
        <v>0</v>
      </c>
    </row>
    <row r="359" spans="1:37" ht="110.25" x14ac:dyDescent="0.35">
      <c r="A359" s="71" t="s">
        <v>1389</v>
      </c>
      <c r="B359" s="28" t="s">
        <v>357</v>
      </c>
      <c r="C359" s="5" t="s">
        <v>1413</v>
      </c>
      <c r="D359" s="4" t="s">
        <v>1264</v>
      </c>
      <c r="E359" s="5" t="s">
        <v>119</v>
      </c>
      <c r="F359" s="4" t="s">
        <v>1402</v>
      </c>
      <c r="G359" s="6"/>
      <c r="H359" s="32"/>
      <c r="I359" s="32"/>
      <c r="J359" s="32"/>
      <c r="K359" s="9">
        <v>1</v>
      </c>
      <c r="L359" s="10">
        <v>1.1000000000000001</v>
      </c>
      <c r="M359" s="6" t="s">
        <v>494</v>
      </c>
      <c r="N359" s="6" t="s">
        <v>494</v>
      </c>
      <c r="O359" s="33"/>
      <c r="P359" s="34"/>
      <c r="Q359" s="6" t="s">
        <v>141</v>
      </c>
      <c r="R359" s="6" t="s">
        <v>141</v>
      </c>
      <c r="S359" s="9">
        <f>T359+V359</f>
        <v>48</v>
      </c>
      <c r="T359" s="9">
        <v>0</v>
      </c>
      <c r="U359" s="6" t="s">
        <v>141</v>
      </c>
      <c r="V359" s="9">
        <v>48</v>
      </c>
      <c r="W359" s="5" t="s">
        <v>1265</v>
      </c>
      <c r="X359" s="13">
        <v>86</v>
      </c>
      <c r="Y359" s="5"/>
      <c r="AF359" s="97">
        <v>1.1299999999999999</v>
      </c>
      <c r="AG359" s="98">
        <f t="shared" si="138"/>
        <v>97.179999999999993</v>
      </c>
      <c r="AH359" s="98">
        <f t="shared" si="139"/>
        <v>8.0983333333333327</v>
      </c>
      <c r="AI359" s="98">
        <f t="shared" si="140"/>
        <v>0.26994444444444443</v>
      </c>
      <c r="AJ359" s="97">
        <v>1.25</v>
      </c>
      <c r="AK359" s="37">
        <f t="shared" si="141"/>
        <v>0</v>
      </c>
    </row>
    <row r="360" spans="1:37" ht="110.25" x14ac:dyDescent="0.35">
      <c r="A360" s="71" t="s">
        <v>1390</v>
      </c>
      <c r="B360" s="28" t="s">
        <v>357</v>
      </c>
      <c r="C360" s="5" t="s">
        <v>1413</v>
      </c>
      <c r="D360" s="4" t="s">
        <v>1275</v>
      </c>
      <c r="E360" s="5" t="s">
        <v>119</v>
      </c>
      <c r="F360" s="4" t="s">
        <v>1402</v>
      </c>
      <c r="G360" s="6"/>
      <c r="H360" s="32"/>
      <c r="I360" s="32"/>
      <c r="J360" s="32"/>
      <c r="K360" s="9">
        <v>1</v>
      </c>
      <c r="L360" s="10">
        <v>1.1000000000000001</v>
      </c>
      <c r="M360" s="6" t="s">
        <v>494</v>
      </c>
      <c r="N360" s="6" t="s">
        <v>494</v>
      </c>
      <c r="O360" s="33"/>
      <c r="P360" s="34"/>
      <c r="Q360" s="6" t="s">
        <v>141</v>
      </c>
      <c r="R360" s="6" t="s">
        <v>141</v>
      </c>
      <c r="S360" s="9">
        <f>T360+V360</f>
        <v>93</v>
      </c>
      <c r="T360" s="9">
        <v>0</v>
      </c>
      <c r="U360" s="6" t="s">
        <v>141</v>
      </c>
      <c r="V360" s="9">
        <v>93</v>
      </c>
      <c r="W360" s="5" t="s">
        <v>1276</v>
      </c>
      <c r="X360" s="39">
        <v>19</v>
      </c>
      <c r="Y360" s="5"/>
      <c r="AF360" s="97">
        <v>1.1299999999999999</v>
      </c>
      <c r="AG360" s="98">
        <f t="shared" si="138"/>
        <v>21.47</v>
      </c>
      <c r="AH360" s="98">
        <f t="shared" si="139"/>
        <v>1.7891666666666666</v>
      </c>
      <c r="AI360" s="98">
        <f t="shared" si="140"/>
        <v>5.9638888888888887E-2</v>
      </c>
      <c r="AJ360" s="97">
        <v>1.25</v>
      </c>
      <c r="AK360" s="37">
        <f t="shared" si="141"/>
        <v>0</v>
      </c>
    </row>
    <row r="361" spans="1:37" ht="47.25" x14ac:dyDescent="0.35">
      <c r="A361" s="71" t="s">
        <v>1391</v>
      </c>
      <c r="B361" s="28" t="s">
        <v>357</v>
      </c>
      <c r="C361" s="5" t="s">
        <v>1588</v>
      </c>
      <c r="D361" s="4" t="s">
        <v>1367</v>
      </c>
      <c r="E361" s="5" t="s">
        <v>119</v>
      </c>
      <c r="F361" s="6" t="s">
        <v>141</v>
      </c>
      <c r="G361" s="6"/>
      <c r="H361" s="32"/>
      <c r="I361" s="32"/>
      <c r="J361" s="32"/>
      <c r="K361" s="6" t="s">
        <v>141</v>
      </c>
      <c r="L361" s="6" t="s">
        <v>141</v>
      </c>
      <c r="M361" s="6" t="s">
        <v>141</v>
      </c>
      <c r="N361" s="6" t="s">
        <v>141</v>
      </c>
      <c r="O361" s="33"/>
      <c r="P361" s="34"/>
      <c r="Q361" s="6" t="s">
        <v>141</v>
      </c>
      <c r="R361" s="6" t="s">
        <v>141</v>
      </c>
      <c r="S361" s="6" t="s">
        <v>141</v>
      </c>
      <c r="T361" s="6" t="s">
        <v>141</v>
      </c>
      <c r="U361" s="6" t="s">
        <v>141</v>
      </c>
      <c r="V361" s="6" t="s">
        <v>141</v>
      </c>
      <c r="W361" s="6" t="s">
        <v>141</v>
      </c>
      <c r="X361" s="36">
        <v>80</v>
      </c>
      <c r="Y361" s="5"/>
      <c r="AF361" s="97">
        <v>1.1299999999999999</v>
      </c>
      <c r="AG361" s="98">
        <f t="shared" si="138"/>
        <v>90.399999999999991</v>
      </c>
      <c r="AH361" s="98">
        <f t="shared" si="139"/>
        <v>7.5333333333333323</v>
      </c>
      <c r="AI361" s="98">
        <f t="shared" si="140"/>
        <v>0.25111111111111106</v>
      </c>
      <c r="AJ361" s="97">
        <v>1.25</v>
      </c>
      <c r="AK361" s="37">
        <f t="shared" si="141"/>
        <v>0</v>
      </c>
    </row>
    <row r="362" spans="1:37" ht="47.25" x14ac:dyDescent="0.35">
      <c r="A362" s="71" t="s">
        <v>1392</v>
      </c>
      <c r="B362" s="28" t="s">
        <v>357</v>
      </c>
      <c r="C362" s="5" t="s">
        <v>1588</v>
      </c>
      <c r="D362" s="5" t="s">
        <v>1368</v>
      </c>
      <c r="E362" s="5" t="s">
        <v>119</v>
      </c>
      <c r="F362" s="6" t="s">
        <v>141</v>
      </c>
      <c r="G362" s="6"/>
      <c r="H362" s="32"/>
      <c r="I362" s="32"/>
      <c r="J362" s="32"/>
      <c r="K362" s="6" t="s">
        <v>141</v>
      </c>
      <c r="L362" s="6" t="s">
        <v>141</v>
      </c>
      <c r="M362" s="6" t="s">
        <v>141</v>
      </c>
      <c r="N362" s="6" t="s">
        <v>141</v>
      </c>
      <c r="O362" s="33"/>
      <c r="P362" s="34"/>
      <c r="Q362" s="6" t="s">
        <v>141</v>
      </c>
      <c r="R362" s="6" t="s">
        <v>141</v>
      </c>
      <c r="S362" s="6" t="s">
        <v>141</v>
      </c>
      <c r="T362" s="6" t="s">
        <v>141</v>
      </c>
      <c r="U362" s="6" t="s">
        <v>141</v>
      </c>
      <c r="V362" s="6" t="s">
        <v>141</v>
      </c>
      <c r="W362" s="6" t="s">
        <v>141</v>
      </c>
      <c r="X362" s="36"/>
      <c r="Y362" s="5"/>
      <c r="AF362" s="97"/>
      <c r="AG362" s="98"/>
      <c r="AH362" s="98"/>
      <c r="AI362" s="98"/>
      <c r="AJ362" s="97"/>
      <c r="AK362" s="37"/>
    </row>
    <row r="363" spans="1:37" ht="47.25" x14ac:dyDescent="0.35">
      <c r="A363" s="71" t="s">
        <v>1393</v>
      </c>
      <c r="B363" s="28" t="s">
        <v>357</v>
      </c>
      <c r="C363" s="5" t="s">
        <v>1588</v>
      </c>
      <c r="D363" s="5" t="s">
        <v>1369</v>
      </c>
      <c r="E363" s="5" t="s">
        <v>119</v>
      </c>
      <c r="F363" s="6" t="s">
        <v>141</v>
      </c>
      <c r="G363" s="6"/>
      <c r="H363" s="32"/>
      <c r="I363" s="32"/>
      <c r="J363" s="32"/>
      <c r="K363" s="6" t="s">
        <v>141</v>
      </c>
      <c r="L363" s="6" t="s">
        <v>141</v>
      </c>
      <c r="M363" s="6" t="s">
        <v>141</v>
      </c>
      <c r="N363" s="6" t="s">
        <v>141</v>
      </c>
      <c r="O363" s="33"/>
      <c r="P363" s="34"/>
      <c r="Q363" s="6" t="s">
        <v>141</v>
      </c>
      <c r="R363" s="6" t="s">
        <v>141</v>
      </c>
      <c r="S363" s="6" t="s">
        <v>141</v>
      </c>
      <c r="T363" s="6" t="s">
        <v>141</v>
      </c>
      <c r="U363" s="6" t="s">
        <v>141</v>
      </c>
      <c r="V363" s="6" t="s">
        <v>141</v>
      </c>
      <c r="W363" s="6" t="s">
        <v>141</v>
      </c>
      <c r="X363" s="36"/>
      <c r="Y363" s="5"/>
      <c r="AF363" s="97"/>
      <c r="AG363" s="98"/>
      <c r="AH363" s="98"/>
      <c r="AI363" s="98"/>
      <c r="AJ363" s="97"/>
      <c r="AK363" s="37"/>
    </row>
    <row r="364" spans="1:37" ht="31.5" x14ac:dyDescent="0.35">
      <c r="A364" s="71" t="s">
        <v>1394</v>
      </c>
      <c r="B364" s="28" t="s">
        <v>357</v>
      </c>
      <c r="C364" s="5" t="s">
        <v>1588</v>
      </c>
      <c r="D364" s="4" t="s">
        <v>1289</v>
      </c>
      <c r="E364" s="5" t="s">
        <v>119</v>
      </c>
      <c r="F364" s="6" t="s">
        <v>141</v>
      </c>
      <c r="G364" s="6"/>
      <c r="H364" s="32"/>
      <c r="I364" s="32"/>
      <c r="J364" s="32"/>
      <c r="K364" s="6" t="s">
        <v>141</v>
      </c>
      <c r="L364" s="6" t="s">
        <v>141</v>
      </c>
      <c r="M364" s="6" t="s">
        <v>141</v>
      </c>
      <c r="N364" s="6" t="s">
        <v>141</v>
      </c>
      <c r="O364" s="33"/>
      <c r="P364" s="34"/>
      <c r="Q364" s="6" t="s">
        <v>141</v>
      </c>
      <c r="R364" s="6" t="s">
        <v>141</v>
      </c>
      <c r="S364" s="6" t="s">
        <v>141</v>
      </c>
      <c r="T364" s="6" t="s">
        <v>141</v>
      </c>
      <c r="U364" s="6" t="s">
        <v>141</v>
      </c>
      <c r="V364" s="6" t="s">
        <v>141</v>
      </c>
      <c r="W364" s="6" t="s">
        <v>141</v>
      </c>
      <c r="X364" s="36">
        <v>413</v>
      </c>
      <c r="Y364" s="5"/>
      <c r="AF364" s="97">
        <v>1.1299999999999999</v>
      </c>
      <c r="AG364" s="98">
        <f t="shared" si="138"/>
        <v>466.68999999999994</v>
      </c>
      <c r="AH364" s="98">
        <f t="shared" si="139"/>
        <v>38.890833333333326</v>
      </c>
      <c r="AI364" s="98">
        <f t="shared" si="140"/>
        <v>1.2963611111111109</v>
      </c>
      <c r="AJ364" s="97">
        <v>1.25</v>
      </c>
      <c r="AK364" s="37">
        <f t="shared" si="141"/>
        <v>2</v>
      </c>
    </row>
    <row r="365" spans="1:37" ht="31.5" x14ac:dyDescent="0.35">
      <c r="A365" s="71" t="s">
        <v>1395</v>
      </c>
      <c r="B365" s="28" t="s">
        <v>357</v>
      </c>
      <c r="C365" s="5" t="s">
        <v>1588</v>
      </c>
      <c r="D365" s="4" t="s">
        <v>1290</v>
      </c>
      <c r="E365" s="5" t="s">
        <v>119</v>
      </c>
      <c r="F365" s="6" t="s">
        <v>141</v>
      </c>
      <c r="G365" s="6"/>
      <c r="H365" s="32"/>
      <c r="I365" s="32"/>
      <c r="J365" s="32"/>
      <c r="K365" s="6" t="s">
        <v>141</v>
      </c>
      <c r="L365" s="6" t="s">
        <v>141</v>
      </c>
      <c r="M365" s="6" t="s">
        <v>141</v>
      </c>
      <c r="N365" s="6" t="s">
        <v>141</v>
      </c>
      <c r="O365" s="33"/>
      <c r="P365" s="34"/>
      <c r="Q365" s="6" t="s">
        <v>141</v>
      </c>
      <c r="R365" s="6" t="s">
        <v>141</v>
      </c>
      <c r="S365" s="6" t="s">
        <v>141</v>
      </c>
      <c r="T365" s="6" t="s">
        <v>141</v>
      </c>
      <c r="U365" s="6" t="s">
        <v>141</v>
      </c>
      <c r="V365" s="6" t="s">
        <v>141</v>
      </c>
      <c r="W365" s="6" t="s">
        <v>141</v>
      </c>
      <c r="X365" s="36"/>
      <c r="Y365" s="5"/>
      <c r="AF365" s="97"/>
      <c r="AG365" s="98"/>
      <c r="AH365" s="98"/>
      <c r="AI365" s="98"/>
      <c r="AJ365" s="97"/>
      <c r="AK365" s="37"/>
    </row>
    <row r="366" spans="1:37" ht="110.25" x14ac:dyDescent="0.35">
      <c r="A366" s="71" t="s">
        <v>1396</v>
      </c>
      <c r="B366" s="28" t="s">
        <v>357</v>
      </c>
      <c r="C366" s="5" t="s">
        <v>1413</v>
      </c>
      <c r="D366" s="4" t="s">
        <v>1291</v>
      </c>
      <c r="E366" s="5" t="s">
        <v>119</v>
      </c>
      <c r="F366" s="4" t="s">
        <v>1402</v>
      </c>
      <c r="G366" s="6"/>
      <c r="H366" s="32"/>
      <c r="I366" s="32"/>
      <c r="J366" s="32"/>
      <c r="K366" s="9">
        <v>1</v>
      </c>
      <c r="L366" s="10">
        <v>1.1000000000000001</v>
      </c>
      <c r="M366" s="6" t="s">
        <v>494</v>
      </c>
      <c r="N366" s="6" t="s">
        <v>494</v>
      </c>
      <c r="O366" s="33"/>
      <c r="P366" s="34"/>
      <c r="Q366" s="6" t="s">
        <v>141</v>
      </c>
      <c r="R366" s="6" t="s">
        <v>141</v>
      </c>
      <c r="S366" s="9">
        <f t="shared" ref="S366:S372" si="143">T366+V366</f>
        <v>31</v>
      </c>
      <c r="T366" s="9">
        <v>0</v>
      </c>
      <c r="U366" s="6" t="s">
        <v>141</v>
      </c>
      <c r="V366" s="9">
        <v>31</v>
      </c>
      <c r="W366" s="5" t="s">
        <v>1292</v>
      </c>
      <c r="X366" s="39"/>
      <c r="Y366" s="5"/>
      <c r="AF366" s="97"/>
      <c r="AG366" s="98"/>
      <c r="AH366" s="98"/>
      <c r="AI366" s="98"/>
      <c r="AJ366" s="97"/>
      <c r="AK366" s="37"/>
    </row>
    <row r="367" spans="1:37" ht="110.25" x14ac:dyDescent="0.35">
      <c r="A367" s="71" t="s">
        <v>1397</v>
      </c>
      <c r="B367" s="28" t="s">
        <v>357</v>
      </c>
      <c r="C367" s="5" t="s">
        <v>1413</v>
      </c>
      <c r="D367" s="4" t="s">
        <v>1293</v>
      </c>
      <c r="E367" s="5" t="s">
        <v>119</v>
      </c>
      <c r="F367" s="4" t="s">
        <v>1402</v>
      </c>
      <c r="G367" s="6"/>
      <c r="H367" s="32"/>
      <c r="I367" s="32"/>
      <c r="J367" s="32"/>
      <c r="K367" s="9">
        <v>1</v>
      </c>
      <c r="L367" s="10">
        <v>1.1000000000000001</v>
      </c>
      <c r="M367" s="6" t="s">
        <v>494</v>
      </c>
      <c r="N367" s="6" t="s">
        <v>494</v>
      </c>
      <c r="O367" s="33"/>
      <c r="P367" s="34"/>
      <c r="Q367" s="6" t="s">
        <v>141</v>
      </c>
      <c r="R367" s="6" t="s">
        <v>141</v>
      </c>
      <c r="S367" s="9">
        <f t="shared" si="143"/>
        <v>23</v>
      </c>
      <c r="T367" s="9">
        <v>0</v>
      </c>
      <c r="U367" s="6" t="s">
        <v>141</v>
      </c>
      <c r="V367" s="9">
        <v>23</v>
      </c>
      <c r="W367" s="5" t="s">
        <v>1294</v>
      </c>
      <c r="X367" s="39"/>
      <c r="Y367" s="5"/>
      <c r="AF367" s="97"/>
      <c r="AG367" s="98"/>
      <c r="AH367" s="98"/>
      <c r="AI367" s="98"/>
      <c r="AJ367" s="97"/>
      <c r="AK367" s="37"/>
    </row>
    <row r="368" spans="1:37" ht="110.25" x14ac:dyDescent="0.35">
      <c r="A368" s="71" t="s">
        <v>1398</v>
      </c>
      <c r="B368" s="28" t="s">
        <v>357</v>
      </c>
      <c r="C368" s="5" t="s">
        <v>1413</v>
      </c>
      <c r="D368" s="4" t="s">
        <v>1295</v>
      </c>
      <c r="E368" s="5" t="s">
        <v>119</v>
      </c>
      <c r="F368" s="4" t="s">
        <v>1402</v>
      </c>
      <c r="G368" s="6"/>
      <c r="H368" s="32"/>
      <c r="I368" s="32"/>
      <c r="J368" s="32"/>
      <c r="K368" s="9">
        <v>1</v>
      </c>
      <c r="L368" s="10">
        <v>1.1000000000000001</v>
      </c>
      <c r="M368" s="6" t="s">
        <v>494</v>
      </c>
      <c r="N368" s="6" t="s">
        <v>494</v>
      </c>
      <c r="O368" s="33"/>
      <c r="P368" s="34"/>
      <c r="Q368" s="6" t="s">
        <v>141</v>
      </c>
      <c r="R368" s="6" t="s">
        <v>141</v>
      </c>
      <c r="S368" s="9">
        <f t="shared" si="143"/>
        <v>18</v>
      </c>
      <c r="T368" s="9">
        <v>0</v>
      </c>
      <c r="U368" s="6" t="s">
        <v>141</v>
      </c>
      <c r="V368" s="9">
        <v>18</v>
      </c>
      <c r="W368" s="5" t="s">
        <v>1296</v>
      </c>
      <c r="X368" s="39"/>
      <c r="Y368" s="5"/>
      <c r="AF368" s="97"/>
      <c r="AG368" s="98"/>
      <c r="AH368" s="98"/>
      <c r="AI368" s="98"/>
      <c r="AJ368" s="97"/>
      <c r="AK368" s="37"/>
    </row>
    <row r="369" spans="1:37" ht="110.25" x14ac:dyDescent="0.35">
      <c r="A369" s="71" t="s">
        <v>1399</v>
      </c>
      <c r="B369" s="28" t="s">
        <v>357</v>
      </c>
      <c r="C369" s="5" t="s">
        <v>1413</v>
      </c>
      <c r="D369" s="4" t="s">
        <v>1297</v>
      </c>
      <c r="E369" s="5" t="s">
        <v>119</v>
      </c>
      <c r="F369" s="4" t="s">
        <v>1402</v>
      </c>
      <c r="G369" s="6"/>
      <c r="H369" s="32"/>
      <c r="I369" s="32"/>
      <c r="J369" s="32"/>
      <c r="K369" s="9">
        <v>1</v>
      </c>
      <c r="L369" s="10">
        <v>1.1000000000000001</v>
      </c>
      <c r="M369" s="6" t="s">
        <v>494</v>
      </c>
      <c r="N369" s="6" t="s">
        <v>494</v>
      </c>
      <c r="O369" s="33"/>
      <c r="P369" s="34"/>
      <c r="Q369" s="6" t="s">
        <v>141</v>
      </c>
      <c r="R369" s="6" t="s">
        <v>141</v>
      </c>
      <c r="S369" s="9">
        <f t="shared" si="143"/>
        <v>17</v>
      </c>
      <c r="T369" s="9">
        <v>0</v>
      </c>
      <c r="U369" s="6" t="s">
        <v>141</v>
      </c>
      <c r="V369" s="9">
        <v>17</v>
      </c>
      <c r="W369" s="5" t="s">
        <v>1298</v>
      </c>
      <c r="X369" s="39"/>
      <c r="Y369" s="5"/>
      <c r="AF369" s="97"/>
      <c r="AG369" s="98"/>
      <c r="AH369" s="98"/>
      <c r="AI369" s="98"/>
      <c r="AJ369" s="97"/>
      <c r="AK369" s="37"/>
    </row>
    <row r="370" spans="1:37" ht="31.5" x14ac:dyDescent="0.35">
      <c r="A370" s="71" t="s">
        <v>1400</v>
      </c>
      <c r="B370" s="28" t="s">
        <v>357</v>
      </c>
      <c r="C370" s="5" t="s">
        <v>1588</v>
      </c>
      <c r="D370" s="4" t="s">
        <v>1586</v>
      </c>
      <c r="E370" s="5" t="s">
        <v>119</v>
      </c>
      <c r="F370" s="6" t="s">
        <v>141</v>
      </c>
      <c r="G370" s="6"/>
      <c r="H370" s="35"/>
      <c r="I370" s="35"/>
      <c r="J370" s="35"/>
      <c r="K370" s="6" t="s">
        <v>141</v>
      </c>
      <c r="L370" s="6" t="s">
        <v>141</v>
      </c>
      <c r="M370" s="6" t="s">
        <v>141</v>
      </c>
      <c r="N370" s="6" t="s">
        <v>141</v>
      </c>
      <c r="O370" s="33"/>
      <c r="P370" s="34"/>
      <c r="Q370" s="6" t="s">
        <v>141</v>
      </c>
      <c r="R370" s="6" t="s">
        <v>141</v>
      </c>
      <c r="S370" s="6" t="s">
        <v>141</v>
      </c>
      <c r="T370" s="6" t="s">
        <v>141</v>
      </c>
      <c r="U370" s="6" t="s">
        <v>141</v>
      </c>
      <c r="V370" s="6" t="s">
        <v>141</v>
      </c>
      <c r="W370" s="6" t="s">
        <v>141</v>
      </c>
      <c r="X370" s="36">
        <v>502</v>
      </c>
      <c r="Y370" s="5"/>
      <c r="AF370" s="97">
        <v>1.1299999999999999</v>
      </c>
      <c r="AG370" s="98">
        <f t="shared" ref="AG370" si="144">X370*AF370</f>
        <v>567.26</v>
      </c>
      <c r="AH370" s="98">
        <f t="shared" ref="AH370" si="145">AG370/12</f>
        <v>47.271666666666668</v>
      </c>
      <c r="AI370" s="98">
        <f t="shared" ref="AI370" si="146">AH370/30</f>
        <v>1.5757222222222222</v>
      </c>
      <c r="AJ370" s="97">
        <v>1.25</v>
      </c>
      <c r="AK370" s="37">
        <f t="shared" ref="AK370" si="147">ROUND(AI370*AJ370,0)</f>
        <v>2</v>
      </c>
    </row>
    <row r="371" spans="1:37" ht="110.25" x14ac:dyDescent="0.35">
      <c r="A371" s="71" t="s">
        <v>1401</v>
      </c>
      <c r="B371" s="28" t="s">
        <v>357</v>
      </c>
      <c r="C371" s="5" t="s">
        <v>1413</v>
      </c>
      <c r="D371" s="4" t="s">
        <v>1587</v>
      </c>
      <c r="E371" s="5" t="s">
        <v>119</v>
      </c>
      <c r="F371" s="4" t="s">
        <v>1560</v>
      </c>
      <c r="G371" s="6"/>
      <c r="H371" s="35">
        <f>8*4</f>
        <v>32</v>
      </c>
      <c r="I371" s="35">
        <f t="shared" ref="I371:I372" si="148">12*8-H371</f>
        <v>64</v>
      </c>
      <c r="J371" s="35">
        <f>(2+8+2+2)*2*2</f>
        <v>56</v>
      </c>
      <c r="K371" s="9">
        <v>6</v>
      </c>
      <c r="L371" s="10">
        <v>6.6</v>
      </c>
      <c r="M371" s="6" t="s">
        <v>494</v>
      </c>
      <c r="N371" s="6" t="s">
        <v>494</v>
      </c>
      <c r="O371" s="33"/>
      <c r="P371" s="34"/>
      <c r="Q371" s="6" t="s">
        <v>141</v>
      </c>
      <c r="R371" s="6" t="s">
        <v>141</v>
      </c>
      <c r="S371" s="9">
        <f t="shared" si="143"/>
        <v>38</v>
      </c>
      <c r="T371" s="9">
        <v>8</v>
      </c>
      <c r="U371" s="6" t="s">
        <v>1591</v>
      </c>
      <c r="V371" s="9">
        <v>30</v>
      </c>
      <c r="W371" s="5" t="s">
        <v>1592</v>
      </c>
      <c r="X371" s="39">
        <v>502</v>
      </c>
      <c r="Y371" s="5"/>
      <c r="AF371" s="97"/>
      <c r="AG371" s="98"/>
      <c r="AH371" s="98"/>
      <c r="AI371" s="98"/>
      <c r="AJ371" s="97"/>
      <c r="AK371" s="37"/>
    </row>
    <row r="372" spans="1:37" ht="110.25" x14ac:dyDescent="0.35">
      <c r="A372" s="71" t="s">
        <v>1406</v>
      </c>
      <c r="B372" s="28" t="s">
        <v>357</v>
      </c>
      <c r="C372" s="5" t="s">
        <v>1413</v>
      </c>
      <c r="D372" s="4" t="s">
        <v>1585</v>
      </c>
      <c r="E372" s="5" t="s">
        <v>119</v>
      </c>
      <c r="F372" s="4" t="s">
        <v>1560</v>
      </c>
      <c r="G372" s="6"/>
      <c r="H372" s="35">
        <f>8*4</f>
        <v>32</v>
      </c>
      <c r="I372" s="35">
        <f t="shared" si="148"/>
        <v>64</v>
      </c>
      <c r="J372" s="35">
        <f>(2+8+2+2)*2*2</f>
        <v>56</v>
      </c>
      <c r="K372" s="9">
        <v>3</v>
      </c>
      <c r="L372" s="10">
        <v>3.3</v>
      </c>
      <c r="M372" s="6" t="s">
        <v>494</v>
      </c>
      <c r="N372" s="6" t="s">
        <v>494</v>
      </c>
      <c r="O372" s="33"/>
      <c r="P372" s="34"/>
      <c r="Q372" s="6" t="s">
        <v>141</v>
      </c>
      <c r="R372" s="6" t="s">
        <v>141</v>
      </c>
      <c r="S372" s="9">
        <f t="shared" si="143"/>
        <v>21</v>
      </c>
      <c r="T372" s="9">
        <v>0</v>
      </c>
      <c r="U372" s="6" t="s">
        <v>141</v>
      </c>
      <c r="V372" s="9">
        <v>21</v>
      </c>
      <c r="W372" s="5" t="s">
        <v>1314</v>
      </c>
      <c r="X372" s="39"/>
      <c r="Y372" s="5"/>
      <c r="AF372" s="97"/>
      <c r="AG372" s="98"/>
      <c r="AH372" s="98"/>
      <c r="AI372" s="98"/>
      <c r="AJ372" s="97"/>
      <c r="AK372" s="37"/>
    </row>
    <row r="373" spans="1:37" ht="110.25" x14ac:dyDescent="0.35">
      <c r="A373" s="71" t="s">
        <v>1493</v>
      </c>
      <c r="B373" s="28" t="s">
        <v>365</v>
      </c>
      <c r="C373" s="5" t="s">
        <v>1413</v>
      </c>
      <c r="D373" s="4" t="s">
        <v>1495</v>
      </c>
      <c r="E373" s="5" t="s">
        <v>119</v>
      </c>
      <c r="F373" s="4" t="s">
        <v>1404</v>
      </c>
      <c r="G373" s="6"/>
      <c r="H373" s="32"/>
      <c r="I373" s="32"/>
      <c r="J373" s="32"/>
      <c r="K373" s="9">
        <v>2</v>
      </c>
      <c r="L373" s="10">
        <v>2.2000000000000002</v>
      </c>
      <c r="M373" s="6" t="s">
        <v>494</v>
      </c>
      <c r="N373" s="6" t="s">
        <v>494</v>
      </c>
      <c r="O373" s="33"/>
      <c r="P373" s="34"/>
      <c r="Q373" s="6" t="s">
        <v>141</v>
      </c>
      <c r="R373" s="6" t="s">
        <v>141</v>
      </c>
      <c r="S373" s="9">
        <f t="shared" ref="S373" si="149">T373+V373</f>
        <v>9</v>
      </c>
      <c r="T373" s="9">
        <v>0</v>
      </c>
      <c r="U373" s="6" t="s">
        <v>141</v>
      </c>
      <c r="V373" s="9">
        <v>9</v>
      </c>
      <c r="W373" s="5" t="s">
        <v>1494</v>
      </c>
      <c r="X373" s="39">
        <v>10</v>
      </c>
      <c r="Y373" s="5"/>
      <c r="AF373" s="97">
        <v>1.1299999999999999</v>
      </c>
      <c r="AG373" s="98">
        <f t="shared" ref="AG373" si="150">X373*AF373</f>
        <v>11.299999999999999</v>
      </c>
      <c r="AH373" s="98">
        <f t="shared" ref="AH373" si="151">AG373/12</f>
        <v>0.94166666666666654</v>
      </c>
      <c r="AI373" s="98">
        <f t="shared" ref="AI373" si="152">AH373/30</f>
        <v>3.1388888888888883E-2</v>
      </c>
      <c r="AJ373" s="97">
        <v>1.25</v>
      </c>
      <c r="AK373" s="37">
        <f t="shared" ref="AK373" si="153">ROUND(AI373*AJ373,0)</f>
        <v>0</v>
      </c>
    </row>
    <row r="374" spans="1:37" ht="110.25" x14ac:dyDescent="0.25">
      <c r="A374" s="71" t="s">
        <v>1519</v>
      </c>
      <c r="B374" s="28" t="s">
        <v>365</v>
      </c>
      <c r="C374" s="5" t="s">
        <v>1413</v>
      </c>
      <c r="D374" s="4" t="s">
        <v>2186</v>
      </c>
      <c r="E374" s="5" t="s">
        <v>119</v>
      </c>
      <c r="F374" s="4" t="s">
        <v>1404</v>
      </c>
      <c r="G374" s="6"/>
      <c r="H374" s="32"/>
      <c r="I374" s="32"/>
      <c r="J374" s="32"/>
      <c r="K374" s="9">
        <v>2</v>
      </c>
      <c r="L374" s="10">
        <v>2.2000000000000002</v>
      </c>
      <c r="M374" s="6" t="s">
        <v>494</v>
      </c>
      <c r="N374" s="6" t="s">
        <v>494</v>
      </c>
      <c r="O374" s="33"/>
      <c r="P374" s="34"/>
      <c r="Q374" s="6" t="s">
        <v>141</v>
      </c>
      <c r="R374" s="6" t="s">
        <v>141</v>
      </c>
      <c r="S374" s="9">
        <f t="shared" ref="S374" si="154">T374+V374</f>
        <v>9</v>
      </c>
      <c r="T374" s="9">
        <v>4</v>
      </c>
      <c r="U374" s="6" t="s">
        <v>1521</v>
      </c>
      <c r="V374" s="9">
        <v>5</v>
      </c>
      <c r="W374" s="5" t="s">
        <v>1520</v>
      </c>
      <c r="X374" s="88">
        <v>125</v>
      </c>
      <c r="Y374" s="5"/>
    </row>
    <row r="375" spans="1:37" ht="110.25" x14ac:dyDescent="0.35">
      <c r="A375" s="71" t="s">
        <v>1575</v>
      </c>
      <c r="B375" s="28" t="s">
        <v>365</v>
      </c>
      <c r="C375" s="5" t="s">
        <v>1413</v>
      </c>
      <c r="D375" s="4" t="s">
        <v>1576</v>
      </c>
      <c r="E375" s="5" t="s">
        <v>119</v>
      </c>
      <c r="F375" s="4" t="s">
        <v>1560</v>
      </c>
      <c r="G375" s="12"/>
      <c r="H375" s="35">
        <f t="shared" si="48"/>
        <v>32</v>
      </c>
      <c r="I375" s="35">
        <f t="shared" ref="I375:I379" si="155">12*8-H375</f>
        <v>64</v>
      </c>
      <c r="J375" s="35">
        <f>(2+8+2+2)*2*2</f>
        <v>56</v>
      </c>
      <c r="K375" s="9">
        <v>3</v>
      </c>
      <c r="L375" s="10">
        <v>3.3</v>
      </c>
      <c r="M375" s="6" t="s">
        <v>494</v>
      </c>
      <c r="N375" s="6" t="s">
        <v>494</v>
      </c>
      <c r="O375" s="33"/>
      <c r="P375" s="34"/>
      <c r="Q375" s="6" t="s">
        <v>141</v>
      </c>
      <c r="R375" s="6" t="s">
        <v>141</v>
      </c>
      <c r="S375" s="9">
        <f t="shared" ref="S375:S380" si="156">T375+V375</f>
        <v>33</v>
      </c>
      <c r="T375" s="9">
        <v>0</v>
      </c>
      <c r="U375" s="6" t="s">
        <v>141</v>
      </c>
      <c r="V375" s="9">
        <v>33</v>
      </c>
      <c r="W375" s="5" t="s">
        <v>1189</v>
      </c>
      <c r="X375" s="88">
        <v>24</v>
      </c>
      <c r="Y375" s="5"/>
      <c r="Z375" s="45" t="s">
        <v>425</v>
      </c>
      <c r="AF375" s="97">
        <v>1.1299999999999999</v>
      </c>
      <c r="AG375" s="98">
        <f>X375*AF375</f>
        <v>27.119999999999997</v>
      </c>
      <c r="AH375" s="98">
        <f t="shared" ref="AH375:AH376" si="157">AG375/12</f>
        <v>2.2599999999999998</v>
      </c>
      <c r="AI375" s="98">
        <f t="shared" ref="AI375:AI376" si="158">AH375/30</f>
        <v>7.5333333333333322E-2</v>
      </c>
      <c r="AJ375" s="97">
        <v>1.25</v>
      </c>
      <c r="AK375" s="37">
        <f t="shared" ref="AK375:AK376" si="159">ROUND(AI375*AJ375,0)</f>
        <v>0</v>
      </c>
    </row>
    <row r="376" spans="1:37" ht="110.25" x14ac:dyDescent="0.35">
      <c r="A376" s="71" t="s">
        <v>1577</v>
      </c>
      <c r="B376" s="28" t="s">
        <v>365</v>
      </c>
      <c r="C376" s="5" t="s">
        <v>1413</v>
      </c>
      <c r="D376" s="4" t="s">
        <v>1668</v>
      </c>
      <c r="E376" s="5" t="s">
        <v>119</v>
      </c>
      <c r="F376" s="4" t="s">
        <v>1403</v>
      </c>
      <c r="G376" s="12"/>
      <c r="H376" s="35">
        <f>6*4</f>
        <v>24</v>
      </c>
      <c r="I376" s="35">
        <f>10*8-H376</f>
        <v>56</v>
      </c>
      <c r="J376" s="35">
        <f>(2+6+2+2)*2*2</f>
        <v>48</v>
      </c>
      <c r="K376" s="9">
        <v>2</v>
      </c>
      <c r="L376" s="10">
        <v>2.2000000000000002</v>
      </c>
      <c r="M376" s="6" t="s">
        <v>494</v>
      </c>
      <c r="N376" s="6" t="s">
        <v>494</v>
      </c>
      <c r="O376" s="33"/>
      <c r="P376" s="34"/>
      <c r="Q376" s="6" t="s">
        <v>141</v>
      </c>
      <c r="R376" s="6" t="s">
        <v>141</v>
      </c>
      <c r="S376" s="9">
        <f t="shared" si="156"/>
        <v>29</v>
      </c>
      <c r="T376" s="9">
        <v>0</v>
      </c>
      <c r="U376" s="6" t="s">
        <v>141</v>
      </c>
      <c r="V376" s="9">
        <v>29</v>
      </c>
      <c r="W376" s="5" t="s">
        <v>1861</v>
      </c>
      <c r="X376" s="88">
        <v>70</v>
      </c>
      <c r="Y376" s="5"/>
      <c r="AF376" s="97">
        <v>1.1299999999999999</v>
      </c>
      <c r="AG376" s="98">
        <f>X376*AF376</f>
        <v>79.099999999999994</v>
      </c>
      <c r="AH376" s="98">
        <f t="shared" si="157"/>
        <v>6.5916666666666659</v>
      </c>
      <c r="AI376" s="98">
        <f t="shared" si="158"/>
        <v>0.21972222222222221</v>
      </c>
      <c r="AJ376" s="97">
        <v>1.25</v>
      </c>
      <c r="AK376" s="37">
        <f t="shared" si="159"/>
        <v>0</v>
      </c>
    </row>
    <row r="377" spans="1:37" ht="110.25" x14ac:dyDescent="0.25">
      <c r="A377" s="71" t="s">
        <v>1578</v>
      </c>
      <c r="B377" s="28" t="s">
        <v>365</v>
      </c>
      <c r="C377" s="5" t="s">
        <v>1413</v>
      </c>
      <c r="D377" s="4" t="s">
        <v>1579</v>
      </c>
      <c r="E377" s="5" t="s">
        <v>119</v>
      </c>
      <c r="F377" s="4" t="s">
        <v>1560</v>
      </c>
      <c r="G377" s="12"/>
      <c r="H377" s="35">
        <f t="shared" si="48"/>
        <v>32</v>
      </c>
      <c r="I377" s="35">
        <f t="shared" si="155"/>
        <v>64</v>
      </c>
      <c r="J377" s="35">
        <f>(4+8+4+2)*2*2</f>
        <v>72</v>
      </c>
      <c r="K377" s="9">
        <v>3</v>
      </c>
      <c r="L377" s="10">
        <v>3.3</v>
      </c>
      <c r="M377" s="6" t="s">
        <v>494</v>
      </c>
      <c r="N377" s="6" t="s">
        <v>494</v>
      </c>
      <c r="O377" s="33"/>
      <c r="P377" s="34"/>
      <c r="Q377" s="6" t="s">
        <v>142</v>
      </c>
      <c r="R377" s="6" t="s">
        <v>1580</v>
      </c>
      <c r="S377" s="9">
        <f t="shared" si="156"/>
        <v>21</v>
      </c>
      <c r="T377" s="9">
        <v>0</v>
      </c>
      <c r="U377" s="6" t="s">
        <v>141</v>
      </c>
      <c r="V377" s="9">
        <v>21</v>
      </c>
      <c r="W377" s="5" t="s">
        <v>1581</v>
      </c>
      <c r="Y377" s="5"/>
    </row>
    <row r="378" spans="1:37" ht="110.25" x14ac:dyDescent="0.25">
      <c r="A378" s="71" t="s">
        <v>1582</v>
      </c>
      <c r="B378" s="28" t="s">
        <v>365</v>
      </c>
      <c r="C378" s="5" t="s">
        <v>1413</v>
      </c>
      <c r="D378" s="4" t="s">
        <v>2122</v>
      </c>
      <c r="E378" s="5" t="s">
        <v>119</v>
      </c>
      <c r="F378" s="4" t="s">
        <v>1560</v>
      </c>
      <c r="G378" s="12"/>
      <c r="H378" s="35">
        <f t="shared" si="48"/>
        <v>32</v>
      </c>
      <c r="I378" s="35">
        <f t="shared" si="155"/>
        <v>64</v>
      </c>
      <c r="J378" s="35">
        <f>(2+8+2+2)*2*2</f>
        <v>56</v>
      </c>
      <c r="K378" s="9">
        <v>3</v>
      </c>
      <c r="L378" s="10">
        <v>3.3</v>
      </c>
      <c r="M378" s="6" t="s">
        <v>494</v>
      </c>
      <c r="N378" s="6" t="s">
        <v>494</v>
      </c>
      <c r="O378" s="33"/>
      <c r="P378" s="34"/>
      <c r="Q378" s="13">
        <v>1</v>
      </c>
      <c r="R378" s="6" t="s">
        <v>1583</v>
      </c>
      <c r="S378" s="9">
        <f t="shared" si="156"/>
        <v>25</v>
      </c>
      <c r="T378" s="9">
        <v>0</v>
      </c>
      <c r="U378" s="6" t="s">
        <v>141</v>
      </c>
      <c r="V378" s="9">
        <v>25</v>
      </c>
      <c r="W378" s="5" t="s">
        <v>1584</v>
      </c>
      <c r="Y378" s="5"/>
    </row>
    <row r="379" spans="1:37" ht="110.25" x14ac:dyDescent="0.35">
      <c r="A379" s="71" t="s">
        <v>1589</v>
      </c>
      <c r="B379" s="28" t="s">
        <v>360</v>
      </c>
      <c r="C379" s="5" t="s">
        <v>1413</v>
      </c>
      <c r="D379" s="4" t="s">
        <v>1573</v>
      </c>
      <c r="E379" s="5" t="s">
        <v>119</v>
      </c>
      <c r="F379" s="4" t="s">
        <v>1560</v>
      </c>
      <c r="G379" s="6"/>
      <c r="H379" s="35">
        <f t="shared" si="48"/>
        <v>32</v>
      </c>
      <c r="I379" s="35">
        <f t="shared" si="155"/>
        <v>64</v>
      </c>
      <c r="J379" s="35">
        <f>(2+8+2+2)*2*2</f>
        <v>56</v>
      </c>
      <c r="K379" s="9">
        <v>3</v>
      </c>
      <c r="L379" s="10">
        <v>3.3</v>
      </c>
      <c r="M379" s="6" t="s">
        <v>494</v>
      </c>
      <c r="N379" s="6" t="s">
        <v>494</v>
      </c>
      <c r="O379" s="33"/>
      <c r="P379" s="34"/>
      <c r="Q379" s="6" t="s">
        <v>141</v>
      </c>
      <c r="R379" s="6" t="s">
        <v>141</v>
      </c>
      <c r="S379" s="9">
        <f t="shared" si="156"/>
        <v>68</v>
      </c>
      <c r="T379" s="9">
        <v>0</v>
      </c>
      <c r="U379" s="6" t="s">
        <v>141</v>
      </c>
      <c r="V379" s="9">
        <v>68</v>
      </c>
      <c r="W379" s="5" t="s">
        <v>1574</v>
      </c>
      <c r="X379" s="28"/>
      <c r="Y379" s="5"/>
      <c r="Z379" s="45" t="s">
        <v>425</v>
      </c>
      <c r="AF379" s="97">
        <v>1.1299999999999999</v>
      </c>
      <c r="AG379" s="98">
        <f t="shared" ref="AG379" si="160">X379*AF379</f>
        <v>0</v>
      </c>
      <c r="AH379" s="98">
        <f t="shared" ref="AH379" si="161">AG379/12</f>
        <v>0</v>
      </c>
      <c r="AI379" s="98">
        <f t="shared" ref="AI379" si="162">AH379/30</f>
        <v>0</v>
      </c>
      <c r="AJ379" s="97">
        <v>1.25</v>
      </c>
      <c r="AK379" s="37">
        <f t="shared" ref="AK379" si="163">ROUND(AI379*AJ379,0)</f>
        <v>0</v>
      </c>
    </row>
    <row r="380" spans="1:37" ht="110.25" x14ac:dyDescent="0.25">
      <c r="A380" s="71" t="s">
        <v>1594</v>
      </c>
      <c r="B380" s="28" t="s">
        <v>360</v>
      </c>
      <c r="C380" s="5" t="s">
        <v>1413</v>
      </c>
      <c r="D380" s="4" t="s">
        <v>1610</v>
      </c>
      <c r="E380" s="5" t="s">
        <v>119</v>
      </c>
      <c r="F380" s="4" t="s">
        <v>1560</v>
      </c>
      <c r="G380" s="6"/>
      <c r="H380" s="35">
        <f t="shared" si="48"/>
        <v>32</v>
      </c>
      <c r="I380" s="35">
        <f>12*8-H380</f>
        <v>64</v>
      </c>
      <c r="J380" s="35">
        <f>(2+8+2+2)*2*2</f>
        <v>56</v>
      </c>
      <c r="K380" s="9">
        <v>1</v>
      </c>
      <c r="L380" s="10">
        <v>8</v>
      </c>
      <c r="M380" s="6" t="s">
        <v>494</v>
      </c>
      <c r="N380" s="6" t="s">
        <v>494</v>
      </c>
      <c r="O380" s="4" t="s">
        <v>1974</v>
      </c>
      <c r="P380" s="34"/>
      <c r="Q380" s="6" t="s">
        <v>141</v>
      </c>
      <c r="R380" s="6" t="s">
        <v>141</v>
      </c>
      <c r="S380" s="9">
        <f t="shared" si="156"/>
        <v>64</v>
      </c>
      <c r="T380" s="9">
        <v>11</v>
      </c>
      <c r="U380" s="6" t="s">
        <v>1938</v>
      </c>
      <c r="V380" s="9">
        <v>53</v>
      </c>
      <c r="W380" s="5" t="s">
        <v>1595</v>
      </c>
      <c r="X380" s="28"/>
      <c r="Y380" s="5"/>
    </row>
    <row r="381" spans="1:37" ht="110.25" x14ac:dyDescent="0.25">
      <c r="A381" s="71" t="s">
        <v>1638</v>
      </c>
      <c r="B381" s="28" t="s">
        <v>357</v>
      </c>
      <c r="C381" s="5" t="s">
        <v>1413</v>
      </c>
      <c r="D381" s="4" t="s">
        <v>1639</v>
      </c>
      <c r="E381" s="5" t="s">
        <v>119</v>
      </c>
      <c r="F381" s="4" t="s">
        <v>1641</v>
      </c>
      <c r="G381" s="6"/>
      <c r="H381" s="35">
        <f>6.5*3</f>
        <v>19.5</v>
      </c>
      <c r="I381" s="35"/>
      <c r="J381" s="35">
        <f>(2+6.5+2+2)*2*2</f>
        <v>50</v>
      </c>
      <c r="K381" s="9">
        <v>2</v>
      </c>
      <c r="L381" s="10">
        <v>2.2000000000000002</v>
      </c>
      <c r="M381" s="6" t="s">
        <v>494</v>
      </c>
      <c r="N381" s="6" t="s">
        <v>494</v>
      </c>
      <c r="O381" s="4" t="s">
        <v>1974</v>
      </c>
      <c r="P381" s="34"/>
      <c r="Q381" s="6" t="s">
        <v>141</v>
      </c>
      <c r="R381" s="6" t="s">
        <v>141</v>
      </c>
      <c r="S381" s="9">
        <f t="shared" ref="S381" si="164">T381+V381</f>
        <v>34</v>
      </c>
      <c r="T381" s="9">
        <v>0</v>
      </c>
      <c r="U381" s="6" t="s">
        <v>141</v>
      </c>
      <c r="V381" s="9">
        <v>34</v>
      </c>
      <c r="W381" s="5" t="s">
        <v>1640</v>
      </c>
      <c r="X381" s="28"/>
      <c r="Y381" s="5"/>
    </row>
    <row r="382" spans="1:37" ht="64.5" customHeight="1" x14ac:dyDescent="0.25">
      <c r="A382" s="71" t="s">
        <v>1701</v>
      </c>
      <c r="B382" s="28" t="s">
        <v>357</v>
      </c>
      <c r="C382" s="5" t="s">
        <v>1413</v>
      </c>
      <c r="D382" s="5" t="s">
        <v>1134</v>
      </c>
      <c r="E382" s="5"/>
      <c r="F382" s="4" t="s">
        <v>658</v>
      </c>
      <c r="G382" s="6"/>
      <c r="H382" s="35"/>
      <c r="I382" s="35"/>
      <c r="J382" s="35"/>
      <c r="K382" s="9">
        <v>3</v>
      </c>
      <c r="L382" s="10">
        <v>3.3</v>
      </c>
      <c r="M382" s="6" t="s">
        <v>494</v>
      </c>
      <c r="N382" s="6" t="s">
        <v>494</v>
      </c>
      <c r="O382" s="5"/>
      <c r="P382" s="81"/>
      <c r="Q382" s="12" t="s">
        <v>141</v>
      </c>
      <c r="R382" s="6" t="s">
        <v>141</v>
      </c>
      <c r="S382" s="9">
        <f>T382+V382</f>
        <v>8</v>
      </c>
      <c r="T382" s="9">
        <v>8</v>
      </c>
      <c r="U382" s="6" t="s">
        <v>1135</v>
      </c>
      <c r="V382" s="9">
        <v>0</v>
      </c>
      <c r="W382" s="6" t="s">
        <v>141</v>
      </c>
      <c r="Y382" s="5"/>
      <c r="AF382" s="3"/>
      <c r="AG382" s="3"/>
      <c r="AH382" s="3"/>
      <c r="AI382" s="3"/>
      <c r="AJ382" s="3"/>
      <c r="AK382" s="31"/>
    </row>
    <row r="383" spans="1:37" ht="64.5" customHeight="1" x14ac:dyDescent="0.25">
      <c r="A383" s="71" t="s">
        <v>1702</v>
      </c>
      <c r="B383" s="28" t="s">
        <v>357</v>
      </c>
      <c r="C383" s="5" t="s">
        <v>1413</v>
      </c>
      <c r="D383" s="5" t="s">
        <v>1136</v>
      </c>
      <c r="E383" s="5"/>
      <c r="F383" s="4" t="s">
        <v>664</v>
      </c>
      <c r="G383" s="6"/>
      <c r="H383" s="35"/>
      <c r="I383" s="35"/>
      <c r="J383" s="35"/>
      <c r="K383" s="9">
        <v>2</v>
      </c>
      <c r="L383" s="10">
        <v>2.2000000000000002</v>
      </c>
      <c r="M383" s="6" t="s">
        <v>494</v>
      </c>
      <c r="N383" s="6" t="s">
        <v>494</v>
      </c>
      <c r="O383" s="5"/>
      <c r="P383" s="81"/>
      <c r="Q383" s="12" t="s">
        <v>141</v>
      </c>
      <c r="R383" s="6" t="s">
        <v>141</v>
      </c>
      <c r="S383" s="9">
        <f>T383+V383</f>
        <v>30</v>
      </c>
      <c r="T383" s="9">
        <v>4</v>
      </c>
      <c r="U383" s="6" t="s">
        <v>1137</v>
      </c>
      <c r="V383" s="9">
        <v>26</v>
      </c>
      <c r="W383" s="6" t="s">
        <v>1138</v>
      </c>
      <c r="Y383" s="5"/>
      <c r="AF383" s="3"/>
      <c r="AG383" s="3"/>
      <c r="AH383" s="3"/>
      <c r="AI383" s="3"/>
      <c r="AJ383" s="3"/>
      <c r="AK383" s="31"/>
    </row>
    <row r="384" spans="1:37" ht="64.5" customHeight="1" x14ac:dyDescent="0.25">
      <c r="A384" s="71" t="s">
        <v>1703</v>
      </c>
      <c r="B384" s="28" t="s">
        <v>357</v>
      </c>
      <c r="C384" s="5" t="s">
        <v>1413</v>
      </c>
      <c r="D384" s="5" t="s">
        <v>1140</v>
      </c>
      <c r="E384" s="5"/>
      <c r="F384" s="4" t="s">
        <v>658</v>
      </c>
      <c r="G384" s="6"/>
      <c r="H384" s="35"/>
      <c r="I384" s="35"/>
      <c r="J384" s="35"/>
      <c r="K384" s="9">
        <v>3</v>
      </c>
      <c r="L384" s="10">
        <v>3.3</v>
      </c>
      <c r="M384" s="6" t="s">
        <v>494</v>
      </c>
      <c r="N384" s="6" t="s">
        <v>494</v>
      </c>
      <c r="O384" s="5"/>
      <c r="P384" s="81"/>
      <c r="Q384" s="12" t="s">
        <v>141</v>
      </c>
      <c r="R384" s="6" t="s">
        <v>141</v>
      </c>
      <c r="S384" s="9">
        <f>T384+V384</f>
        <v>5</v>
      </c>
      <c r="T384" s="9">
        <v>5</v>
      </c>
      <c r="U384" s="6" t="s">
        <v>344</v>
      </c>
      <c r="V384" s="9">
        <v>0</v>
      </c>
      <c r="W384" s="6" t="s">
        <v>141</v>
      </c>
      <c r="Y384" s="5"/>
      <c r="AF384" s="3"/>
      <c r="AG384" s="3"/>
      <c r="AH384" s="3"/>
      <c r="AI384" s="3"/>
      <c r="AJ384" s="3"/>
      <c r="AK384" s="31"/>
    </row>
    <row r="385" spans="1:37" ht="87" customHeight="1" x14ac:dyDescent="0.25">
      <c r="A385" s="71" t="s">
        <v>1704</v>
      </c>
      <c r="B385" s="28" t="s">
        <v>357</v>
      </c>
      <c r="C385" s="5" t="s">
        <v>1413</v>
      </c>
      <c r="D385" s="4" t="s">
        <v>1503</v>
      </c>
      <c r="E385" s="5" t="s">
        <v>1500</v>
      </c>
      <c r="F385" s="4" t="s">
        <v>1499</v>
      </c>
      <c r="G385" s="6"/>
      <c r="H385" s="35"/>
      <c r="I385" s="35"/>
      <c r="J385" s="35"/>
      <c r="K385" s="9">
        <v>3</v>
      </c>
      <c r="L385" s="10">
        <v>3.3</v>
      </c>
      <c r="M385" s="6" t="s">
        <v>494</v>
      </c>
      <c r="N385" s="6"/>
      <c r="O385" s="5"/>
      <c r="P385" s="6"/>
      <c r="Q385" s="12" t="s">
        <v>141</v>
      </c>
      <c r="R385" s="6" t="s">
        <v>141</v>
      </c>
      <c r="S385" s="9">
        <f>T385+V385</f>
        <v>5</v>
      </c>
      <c r="T385" s="12" t="s">
        <v>1362</v>
      </c>
      <c r="U385" s="6" t="s">
        <v>343</v>
      </c>
      <c r="V385" s="6" t="s">
        <v>197</v>
      </c>
      <c r="W385" s="6" t="s">
        <v>141</v>
      </c>
      <c r="Y385" s="5"/>
      <c r="AF385" s="3"/>
      <c r="AG385" s="3"/>
      <c r="AH385" s="3"/>
      <c r="AI385" s="3"/>
      <c r="AJ385" s="3"/>
      <c r="AK385" s="31"/>
    </row>
    <row r="386" spans="1:37" ht="78.75" x14ac:dyDescent="0.25">
      <c r="A386" s="71" t="s">
        <v>1706</v>
      </c>
      <c r="B386" s="28" t="s">
        <v>360</v>
      </c>
      <c r="C386" s="5" t="s">
        <v>1413</v>
      </c>
      <c r="D386" s="4" t="s">
        <v>1707</v>
      </c>
      <c r="E386" s="5" t="s">
        <v>1708</v>
      </c>
      <c r="F386" s="4" t="s">
        <v>1736</v>
      </c>
      <c r="G386" s="6"/>
      <c r="H386" s="35"/>
      <c r="I386" s="35"/>
      <c r="J386" s="35"/>
      <c r="K386" s="9">
        <v>3</v>
      </c>
      <c r="L386" s="10">
        <v>3.3</v>
      </c>
      <c r="M386" s="6" t="s">
        <v>1738</v>
      </c>
      <c r="N386" s="6" t="s">
        <v>1738</v>
      </c>
      <c r="O386" s="5"/>
      <c r="P386" s="6"/>
      <c r="Q386" s="12" t="s">
        <v>141</v>
      </c>
      <c r="R386" s="6" t="s">
        <v>141</v>
      </c>
      <c r="S386" s="9">
        <f t="shared" ref="S386:S390" si="165">T386+V386</f>
        <v>4</v>
      </c>
      <c r="T386" s="12" t="s">
        <v>1705</v>
      </c>
      <c r="U386" s="6" t="s">
        <v>1716</v>
      </c>
      <c r="V386" s="12" t="s">
        <v>197</v>
      </c>
      <c r="W386" s="6" t="s">
        <v>141</v>
      </c>
      <c r="X386" s="88">
        <v>418</v>
      </c>
      <c r="Y386" s="5" t="s">
        <v>1738</v>
      </c>
    </row>
    <row r="387" spans="1:37" ht="110.25" x14ac:dyDescent="0.25">
      <c r="A387" s="71" t="s">
        <v>1756</v>
      </c>
      <c r="B387" s="28" t="s">
        <v>360</v>
      </c>
      <c r="C387" s="5" t="s">
        <v>1413</v>
      </c>
      <c r="D387" s="4" t="s">
        <v>1709</v>
      </c>
      <c r="E387" s="5" t="s">
        <v>1710</v>
      </c>
      <c r="F387" s="4" t="s">
        <v>1736</v>
      </c>
      <c r="G387" s="6"/>
      <c r="H387" s="35"/>
      <c r="I387" s="35"/>
      <c r="J387" s="35"/>
      <c r="K387" s="9">
        <v>3</v>
      </c>
      <c r="L387" s="10">
        <v>3.3</v>
      </c>
      <c r="M387" s="6" t="s">
        <v>1739</v>
      </c>
      <c r="N387" s="6" t="s">
        <v>1739</v>
      </c>
      <c r="O387" s="5"/>
      <c r="P387" s="6"/>
      <c r="Q387" s="12" t="s">
        <v>141</v>
      </c>
      <c r="R387" s="6" t="s">
        <v>141</v>
      </c>
      <c r="S387" s="9">
        <f t="shared" si="165"/>
        <v>14</v>
      </c>
      <c r="T387" s="12" t="s">
        <v>475</v>
      </c>
      <c r="U387" s="6" t="s">
        <v>1717</v>
      </c>
      <c r="V387" s="12" t="s">
        <v>1813</v>
      </c>
      <c r="W387" s="6" t="s">
        <v>1812</v>
      </c>
      <c r="X387" s="88">
        <f>293+42</f>
        <v>335</v>
      </c>
      <c r="Y387" s="5" t="s">
        <v>1739</v>
      </c>
    </row>
    <row r="388" spans="1:37" ht="78.75" x14ac:dyDescent="0.25">
      <c r="A388" s="71" t="s">
        <v>1763</v>
      </c>
      <c r="B388" s="28" t="s">
        <v>360</v>
      </c>
      <c r="C388" s="5" t="s">
        <v>1413</v>
      </c>
      <c r="D388" s="4" t="s">
        <v>1808</v>
      </c>
      <c r="E388" s="5" t="s">
        <v>1711</v>
      </c>
      <c r="F388" s="4" t="s">
        <v>1736</v>
      </c>
      <c r="G388" s="6"/>
      <c r="H388" s="35"/>
      <c r="I388" s="35"/>
      <c r="J388" s="35"/>
      <c r="K388" s="9">
        <v>3</v>
      </c>
      <c r="L388" s="10">
        <v>3.3</v>
      </c>
      <c r="M388" s="6" t="s">
        <v>1738</v>
      </c>
      <c r="N388" s="6" t="s">
        <v>1738</v>
      </c>
      <c r="O388" s="5"/>
      <c r="P388" s="6"/>
      <c r="Q388" s="12" t="s">
        <v>141</v>
      </c>
      <c r="R388" s="6" t="s">
        <v>141</v>
      </c>
      <c r="S388" s="9">
        <f t="shared" si="165"/>
        <v>6</v>
      </c>
      <c r="T388" s="12" t="s">
        <v>1815</v>
      </c>
      <c r="U388" s="6" t="s">
        <v>1814</v>
      </c>
      <c r="V388" s="12" t="s">
        <v>197</v>
      </c>
      <c r="W388" s="6" t="s">
        <v>141</v>
      </c>
      <c r="X388" s="88">
        <f>89</f>
        <v>89</v>
      </c>
      <c r="Y388" s="5" t="s">
        <v>1738</v>
      </c>
    </row>
    <row r="389" spans="1:37" ht="110.25" x14ac:dyDescent="0.25">
      <c r="A389" s="71" t="s">
        <v>1778</v>
      </c>
      <c r="B389" s="28" t="s">
        <v>360</v>
      </c>
      <c r="C389" s="5" t="s">
        <v>1413</v>
      </c>
      <c r="D389" s="4" t="s">
        <v>1740</v>
      </c>
      <c r="E389" s="5" t="s">
        <v>1712</v>
      </c>
      <c r="F389" s="4" t="s">
        <v>1735</v>
      </c>
      <c r="G389" s="6"/>
      <c r="H389" s="35"/>
      <c r="I389" s="35"/>
      <c r="J389" s="35"/>
      <c r="K389" s="9">
        <v>4</v>
      </c>
      <c r="L389" s="10">
        <v>4.4000000000000004</v>
      </c>
      <c r="M389" s="6" t="s">
        <v>494</v>
      </c>
      <c r="N389" s="6" t="s">
        <v>494</v>
      </c>
      <c r="O389" s="5"/>
      <c r="P389" s="6"/>
      <c r="Q389" s="12" t="s">
        <v>1714</v>
      </c>
      <c r="R389" s="6" t="s">
        <v>1715</v>
      </c>
      <c r="S389" s="9">
        <f t="shared" si="165"/>
        <v>17</v>
      </c>
      <c r="T389" s="12" t="s">
        <v>197</v>
      </c>
      <c r="U389" s="6" t="s">
        <v>141</v>
      </c>
      <c r="V389" s="12" t="s">
        <v>1187</v>
      </c>
      <c r="W389" s="6" t="s">
        <v>1819</v>
      </c>
      <c r="X389" s="88">
        <v>65</v>
      </c>
      <c r="Y389" s="5" t="s">
        <v>714</v>
      </c>
    </row>
    <row r="390" spans="1:37" ht="110.25" x14ac:dyDescent="0.25">
      <c r="A390" s="71" t="s">
        <v>1779</v>
      </c>
      <c r="B390" s="28" t="s">
        <v>360</v>
      </c>
      <c r="C390" s="5" t="s">
        <v>1413</v>
      </c>
      <c r="D390" s="4" t="s">
        <v>1741</v>
      </c>
      <c r="E390" s="5" t="s">
        <v>1713</v>
      </c>
      <c r="F390" s="4" t="s">
        <v>1737</v>
      </c>
      <c r="G390" s="6"/>
      <c r="H390" s="35"/>
      <c r="I390" s="35"/>
      <c r="J390" s="35"/>
      <c r="K390" s="9">
        <v>2</v>
      </c>
      <c r="L390" s="10">
        <v>2.2000000000000002</v>
      </c>
      <c r="M390" s="6" t="s">
        <v>494</v>
      </c>
      <c r="N390" s="6" t="s">
        <v>494</v>
      </c>
      <c r="O390" s="5"/>
      <c r="P390" s="6"/>
      <c r="Q390" s="12" t="s">
        <v>141</v>
      </c>
      <c r="R390" s="6" t="s">
        <v>141</v>
      </c>
      <c r="S390" s="9">
        <f t="shared" si="165"/>
        <v>14</v>
      </c>
      <c r="T390" s="12" t="s">
        <v>197</v>
      </c>
      <c r="U390" s="6" t="s">
        <v>141</v>
      </c>
      <c r="V390" s="12" t="s">
        <v>1360</v>
      </c>
      <c r="W390" s="6" t="s">
        <v>1720</v>
      </c>
      <c r="X390" s="88">
        <v>65</v>
      </c>
      <c r="Y390" s="5" t="s">
        <v>714</v>
      </c>
    </row>
    <row r="391" spans="1:37" ht="110.25" x14ac:dyDescent="0.25">
      <c r="A391" s="71" t="s">
        <v>1785</v>
      </c>
      <c r="B391" s="28" t="s">
        <v>365</v>
      </c>
      <c r="C391" s="5" t="s">
        <v>1413</v>
      </c>
      <c r="D391" s="4" t="s">
        <v>1762</v>
      </c>
      <c r="E391" s="5" t="s">
        <v>1757</v>
      </c>
      <c r="F391" s="4" t="s">
        <v>1737</v>
      </c>
      <c r="G391" s="6"/>
      <c r="H391" s="35"/>
      <c r="I391" s="35"/>
      <c r="J391" s="35"/>
      <c r="K391" s="9">
        <v>1</v>
      </c>
      <c r="L391" s="10">
        <v>1.1000000000000001</v>
      </c>
      <c r="M391" s="6" t="s">
        <v>494</v>
      </c>
      <c r="N391" s="6" t="s">
        <v>494</v>
      </c>
      <c r="O391" s="5"/>
      <c r="P391" s="6"/>
      <c r="Q391" s="12" t="s">
        <v>141</v>
      </c>
      <c r="R391" s="6" t="s">
        <v>141</v>
      </c>
      <c r="S391" s="9">
        <f t="shared" ref="S391" si="166">T391+V391</f>
        <v>8</v>
      </c>
      <c r="T391" s="12" t="s">
        <v>197</v>
      </c>
      <c r="U391" s="6" t="s">
        <v>141</v>
      </c>
      <c r="V391" s="12" t="s">
        <v>1760</v>
      </c>
      <c r="W391" s="6" t="s">
        <v>1758</v>
      </c>
      <c r="Y391" s="5" t="s">
        <v>714</v>
      </c>
      <c r="Z391" s="45" t="s">
        <v>425</v>
      </c>
    </row>
    <row r="392" spans="1:37" ht="110.25" x14ac:dyDescent="0.25">
      <c r="A392" s="71" t="s">
        <v>1821</v>
      </c>
      <c r="B392" s="28" t="s">
        <v>365</v>
      </c>
      <c r="C392" s="5" t="s">
        <v>1413</v>
      </c>
      <c r="D392" s="4" t="s">
        <v>1761</v>
      </c>
      <c r="E392" s="5" t="s">
        <v>1757</v>
      </c>
      <c r="F392" s="4" t="s">
        <v>1737</v>
      </c>
      <c r="G392" s="6"/>
      <c r="H392" s="35"/>
      <c r="I392" s="35"/>
      <c r="J392" s="35"/>
      <c r="K392" s="9">
        <v>1</v>
      </c>
      <c r="L392" s="10">
        <v>1.1000000000000001</v>
      </c>
      <c r="M392" s="6" t="s">
        <v>494</v>
      </c>
      <c r="N392" s="6" t="s">
        <v>494</v>
      </c>
      <c r="O392" s="5"/>
      <c r="P392" s="6"/>
      <c r="Q392" s="12" t="s">
        <v>141</v>
      </c>
      <c r="R392" s="6" t="s">
        <v>141</v>
      </c>
      <c r="S392" s="9">
        <f t="shared" ref="S392" si="167">T392+V392</f>
        <v>4</v>
      </c>
      <c r="T392" s="12" t="s">
        <v>197</v>
      </c>
      <c r="U392" s="6" t="s">
        <v>141</v>
      </c>
      <c r="V392" s="12" t="s">
        <v>1705</v>
      </c>
      <c r="W392" s="6" t="s">
        <v>1759</v>
      </c>
      <c r="Y392" s="5" t="s">
        <v>714</v>
      </c>
    </row>
    <row r="393" spans="1:37" ht="110.25" x14ac:dyDescent="0.25">
      <c r="A393" s="71" t="s">
        <v>1822</v>
      </c>
      <c r="B393" s="28" t="s">
        <v>365</v>
      </c>
      <c r="C393" s="5" t="s">
        <v>1413</v>
      </c>
      <c r="D393" s="4" t="s">
        <v>1783</v>
      </c>
      <c r="E393" s="5" t="s">
        <v>1781</v>
      </c>
      <c r="F393" s="4" t="s">
        <v>1737</v>
      </c>
      <c r="G393" s="6"/>
      <c r="H393" s="35"/>
      <c r="I393" s="35"/>
      <c r="J393" s="35"/>
      <c r="K393" s="9">
        <v>2</v>
      </c>
      <c r="L393" s="10">
        <v>2.2000000000000002</v>
      </c>
      <c r="M393" s="6" t="s">
        <v>494</v>
      </c>
      <c r="N393" s="6" t="s">
        <v>494</v>
      </c>
      <c r="O393" s="5"/>
      <c r="P393" s="6"/>
      <c r="Q393" s="12" t="s">
        <v>141</v>
      </c>
      <c r="R393" s="6" t="s">
        <v>141</v>
      </c>
      <c r="S393" s="9">
        <f t="shared" ref="S393:S394" si="168">T393+V393</f>
        <v>17</v>
      </c>
      <c r="T393" s="12" t="s">
        <v>197</v>
      </c>
      <c r="U393" s="6" t="s">
        <v>141</v>
      </c>
      <c r="V393" s="12" t="s">
        <v>1187</v>
      </c>
      <c r="W393" s="6" t="s">
        <v>1896</v>
      </c>
      <c r="Y393" s="5" t="s">
        <v>714</v>
      </c>
    </row>
    <row r="394" spans="1:37" ht="110.25" x14ac:dyDescent="0.25">
      <c r="A394" s="71" t="s">
        <v>1829</v>
      </c>
      <c r="B394" s="28" t="s">
        <v>365</v>
      </c>
      <c r="C394" s="5" t="s">
        <v>1413</v>
      </c>
      <c r="D394" s="4" t="s">
        <v>1780</v>
      </c>
      <c r="E394" s="5" t="s">
        <v>1782</v>
      </c>
      <c r="F394" s="4" t="s">
        <v>1736</v>
      </c>
      <c r="G394" s="6"/>
      <c r="H394" s="35">
        <f t="shared" ref="H394" si="169">6*4</f>
        <v>24</v>
      </c>
      <c r="I394" s="35">
        <f t="shared" ref="I394" si="170">10*8-H394</f>
        <v>56</v>
      </c>
      <c r="J394" s="35">
        <f t="shared" ref="J394" si="171">(4+6+4)*2*2</f>
        <v>56</v>
      </c>
      <c r="K394" s="9">
        <v>3</v>
      </c>
      <c r="L394" s="10">
        <v>3.3</v>
      </c>
      <c r="M394" s="6" t="s">
        <v>494</v>
      </c>
      <c r="N394" s="6" t="s">
        <v>494</v>
      </c>
      <c r="O394" s="4" t="s">
        <v>1974</v>
      </c>
      <c r="P394" s="6"/>
      <c r="Q394" s="12" t="s">
        <v>141</v>
      </c>
      <c r="R394" s="6" t="s">
        <v>141</v>
      </c>
      <c r="S394" s="9">
        <f t="shared" si="168"/>
        <v>35</v>
      </c>
      <c r="T394" s="12" t="s">
        <v>197</v>
      </c>
      <c r="U394" s="6" t="s">
        <v>141</v>
      </c>
      <c r="V394" s="96">
        <f>28+7</f>
        <v>35</v>
      </c>
      <c r="W394" s="6" t="s">
        <v>1784</v>
      </c>
      <c r="Y394" s="5" t="s">
        <v>714</v>
      </c>
      <c r="Z394" s="45" t="s">
        <v>425</v>
      </c>
    </row>
    <row r="395" spans="1:37" ht="110.25" x14ac:dyDescent="0.25">
      <c r="A395" s="71" t="s">
        <v>1830</v>
      </c>
      <c r="B395" s="28" t="s">
        <v>360</v>
      </c>
      <c r="C395" s="5" t="s">
        <v>1413</v>
      </c>
      <c r="D395" s="4" t="s">
        <v>1820</v>
      </c>
      <c r="E395" s="5" t="s">
        <v>1818</v>
      </c>
      <c r="F395" s="4" t="s">
        <v>1736</v>
      </c>
      <c r="G395" s="6"/>
      <c r="H395" s="35"/>
      <c r="I395" s="35"/>
      <c r="J395" s="35"/>
      <c r="K395" s="9">
        <v>3</v>
      </c>
      <c r="L395" s="10">
        <v>3.3</v>
      </c>
      <c r="M395" s="6" t="s">
        <v>1739</v>
      </c>
      <c r="N395" s="6" t="s">
        <v>1739</v>
      </c>
      <c r="O395" s="5"/>
      <c r="P395" s="6"/>
      <c r="Q395" s="12" t="s">
        <v>141</v>
      </c>
      <c r="R395" s="6" t="s">
        <v>141</v>
      </c>
      <c r="S395" s="9">
        <f t="shared" ref="S395" si="172">T395+V395</f>
        <v>10</v>
      </c>
      <c r="T395" s="12" t="s">
        <v>1705</v>
      </c>
      <c r="U395" s="6" t="s">
        <v>1816</v>
      </c>
      <c r="V395" s="96">
        <v>6</v>
      </c>
      <c r="W395" s="6" t="s">
        <v>1817</v>
      </c>
      <c r="Y395" s="5" t="s">
        <v>1739</v>
      </c>
    </row>
    <row r="396" spans="1:37" ht="189" x14ac:dyDescent="0.25">
      <c r="A396" s="71" t="s">
        <v>1831</v>
      </c>
      <c r="B396" s="28" t="s">
        <v>360</v>
      </c>
      <c r="C396" s="5" t="s">
        <v>1413</v>
      </c>
      <c r="D396" s="4" t="s">
        <v>1825</v>
      </c>
      <c r="E396" s="5" t="s">
        <v>1818</v>
      </c>
      <c r="F396" s="4" t="s">
        <v>1736</v>
      </c>
      <c r="G396" s="6"/>
      <c r="H396" s="35"/>
      <c r="I396" s="35"/>
      <c r="J396" s="35"/>
      <c r="K396" s="9">
        <v>3</v>
      </c>
      <c r="L396" s="10">
        <v>3.3</v>
      </c>
      <c r="M396" s="6" t="s">
        <v>1828</v>
      </c>
      <c r="N396" s="6" t="s">
        <v>1828</v>
      </c>
      <c r="O396" s="5"/>
      <c r="P396" s="6"/>
      <c r="Q396" s="12" t="s">
        <v>141</v>
      </c>
      <c r="R396" s="6" t="s">
        <v>141</v>
      </c>
      <c r="S396" s="9">
        <f t="shared" ref="S396:S399" si="173">T396+V396</f>
        <v>3</v>
      </c>
      <c r="T396" s="12" t="s">
        <v>475</v>
      </c>
      <c r="U396" s="6" t="s">
        <v>1823</v>
      </c>
      <c r="V396" s="96">
        <v>0</v>
      </c>
      <c r="W396" s="6" t="s">
        <v>141</v>
      </c>
      <c r="X396" s="88">
        <v>389</v>
      </c>
      <c r="Y396" s="5" t="s">
        <v>1828</v>
      </c>
    </row>
    <row r="397" spans="1:37" ht="126" x14ac:dyDescent="0.25">
      <c r="A397" s="71" t="s">
        <v>1832</v>
      </c>
      <c r="B397" s="28" t="s">
        <v>360</v>
      </c>
      <c r="C397" s="5" t="s">
        <v>1413</v>
      </c>
      <c r="D397" s="4" t="s">
        <v>1826</v>
      </c>
      <c r="E397" s="5" t="s">
        <v>1818</v>
      </c>
      <c r="F397" s="4" t="s">
        <v>1736</v>
      </c>
      <c r="G397" s="6"/>
      <c r="H397" s="35"/>
      <c r="I397" s="35"/>
      <c r="J397" s="35"/>
      <c r="K397" s="9">
        <v>3</v>
      </c>
      <c r="L397" s="10">
        <v>3.3</v>
      </c>
      <c r="M397" s="6" t="s">
        <v>1827</v>
      </c>
      <c r="N397" s="6" t="s">
        <v>1827</v>
      </c>
      <c r="O397" s="5"/>
      <c r="P397" s="6"/>
      <c r="Q397" s="12" t="s">
        <v>141</v>
      </c>
      <c r="R397" s="6" t="s">
        <v>141</v>
      </c>
      <c r="S397" s="9">
        <f t="shared" si="173"/>
        <v>3</v>
      </c>
      <c r="T397" s="12" t="s">
        <v>475</v>
      </c>
      <c r="U397" s="6" t="s">
        <v>1824</v>
      </c>
      <c r="V397" s="96">
        <v>0</v>
      </c>
      <c r="W397" s="6" t="s">
        <v>141</v>
      </c>
      <c r="X397" s="88">
        <v>321</v>
      </c>
      <c r="Y397" s="5" t="s">
        <v>1827</v>
      </c>
    </row>
    <row r="398" spans="1:37" ht="31.5" x14ac:dyDescent="0.25">
      <c r="A398" s="71" t="s">
        <v>1833</v>
      </c>
      <c r="B398" s="28" t="s">
        <v>357</v>
      </c>
      <c r="C398" s="5" t="s">
        <v>1588</v>
      </c>
      <c r="D398" s="4" t="s">
        <v>1882</v>
      </c>
      <c r="E398" s="5" t="s">
        <v>1978</v>
      </c>
      <c r="F398" s="6" t="s">
        <v>141</v>
      </c>
      <c r="G398" s="6"/>
      <c r="H398" s="35"/>
      <c r="I398" s="35"/>
      <c r="J398" s="35"/>
      <c r="K398" s="6" t="s">
        <v>141</v>
      </c>
      <c r="L398" s="6" t="s">
        <v>141</v>
      </c>
      <c r="M398" s="6" t="s">
        <v>141</v>
      </c>
      <c r="N398" s="6" t="s">
        <v>141</v>
      </c>
      <c r="O398" s="5"/>
      <c r="P398" s="6"/>
      <c r="Q398" s="6" t="s">
        <v>141</v>
      </c>
      <c r="R398" s="6" t="s">
        <v>141</v>
      </c>
      <c r="S398" s="6" t="s">
        <v>141</v>
      </c>
      <c r="T398" s="6" t="s">
        <v>141</v>
      </c>
      <c r="U398" s="6" t="s">
        <v>141</v>
      </c>
      <c r="V398" s="6" t="s">
        <v>141</v>
      </c>
      <c r="W398" s="6" t="s">
        <v>141</v>
      </c>
      <c r="Y398" s="5"/>
    </row>
    <row r="399" spans="1:37" ht="110.25" x14ac:dyDescent="0.25">
      <c r="A399" s="71" t="s">
        <v>1839</v>
      </c>
      <c r="B399" s="28" t="s">
        <v>357</v>
      </c>
      <c r="C399" s="5" t="s">
        <v>1413</v>
      </c>
      <c r="D399" s="4" t="s">
        <v>1852</v>
      </c>
      <c r="E399" s="5" t="s">
        <v>1834</v>
      </c>
      <c r="F399" s="4" t="s">
        <v>1737</v>
      </c>
      <c r="G399" s="6"/>
      <c r="H399" s="35"/>
      <c r="I399" s="35"/>
      <c r="J399" s="35"/>
      <c r="K399" s="9">
        <v>2</v>
      </c>
      <c r="L399" s="10">
        <v>2.2000000000000002</v>
      </c>
      <c r="M399" s="6" t="s">
        <v>494</v>
      </c>
      <c r="N399" s="6" t="s">
        <v>494</v>
      </c>
      <c r="O399" s="5"/>
      <c r="P399" s="6"/>
      <c r="Q399" s="12" t="s">
        <v>141</v>
      </c>
      <c r="R399" s="6" t="s">
        <v>141</v>
      </c>
      <c r="S399" s="9">
        <f t="shared" si="173"/>
        <v>26</v>
      </c>
      <c r="T399" s="12" t="s">
        <v>197</v>
      </c>
      <c r="U399" s="6" t="s">
        <v>141</v>
      </c>
      <c r="V399" s="96">
        <v>26</v>
      </c>
      <c r="W399" s="6" t="s">
        <v>1853</v>
      </c>
      <c r="Y399" s="5" t="s">
        <v>714</v>
      </c>
      <c r="Z399" s="45" t="s">
        <v>425</v>
      </c>
    </row>
    <row r="400" spans="1:37" ht="110.25" x14ac:dyDescent="0.25">
      <c r="A400" s="71" t="s">
        <v>1841</v>
      </c>
      <c r="B400" s="28" t="s">
        <v>365</v>
      </c>
      <c r="C400" s="5" t="s">
        <v>1413</v>
      </c>
      <c r="D400" s="4" t="s">
        <v>1891</v>
      </c>
      <c r="E400" s="5" t="s">
        <v>1834</v>
      </c>
      <c r="F400" s="4" t="s">
        <v>1737</v>
      </c>
      <c r="G400" s="6"/>
      <c r="H400" s="35"/>
      <c r="I400" s="35"/>
      <c r="J400" s="35"/>
      <c r="K400" s="9">
        <v>2</v>
      </c>
      <c r="L400" s="10">
        <v>2.2000000000000002</v>
      </c>
      <c r="M400" s="6" t="s">
        <v>494</v>
      </c>
      <c r="N400" s="6" t="s">
        <v>494</v>
      </c>
      <c r="O400" s="5"/>
      <c r="P400" s="6"/>
      <c r="Q400" s="12" t="s">
        <v>141</v>
      </c>
      <c r="R400" s="6" t="s">
        <v>141</v>
      </c>
      <c r="S400" s="9">
        <f t="shared" ref="S400:S404" si="174">T400+V400</f>
        <v>60</v>
      </c>
      <c r="T400" s="12" t="s">
        <v>197</v>
      </c>
      <c r="U400" s="6" t="s">
        <v>141</v>
      </c>
      <c r="V400" s="96">
        <v>60</v>
      </c>
      <c r="W400" s="6" t="s">
        <v>1897</v>
      </c>
      <c r="Y400" s="5" t="s">
        <v>714</v>
      </c>
    </row>
    <row r="401" spans="1:26" ht="110.25" x14ac:dyDescent="0.25">
      <c r="A401" s="71" t="s">
        <v>1850</v>
      </c>
      <c r="B401" s="28" t="s">
        <v>365</v>
      </c>
      <c r="C401" s="5" t="s">
        <v>1413</v>
      </c>
      <c r="D401" s="4" t="s">
        <v>1835</v>
      </c>
      <c r="E401" s="5" t="s">
        <v>1834</v>
      </c>
      <c r="F401" s="4" t="s">
        <v>1737</v>
      </c>
      <c r="G401" s="6"/>
      <c r="H401" s="35"/>
      <c r="I401" s="35"/>
      <c r="J401" s="35"/>
      <c r="K401" s="9">
        <v>2</v>
      </c>
      <c r="L401" s="10">
        <v>2.2000000000000002</v>
      </c>
      <c r="M401" s="6" t="s">
        <v>494</v>
      </c>
      <c r="N401" s="6" t="s">
        <v>494</v>
      </c>
      <c r="O401" s="5"/>
      <c r="P401" s="6"/>
      <c r="Q401" s="12" t="s">
        <v>141</v>
      </c>
      <c r="R401" s="6" t="s">
        <v>141</v>
      </c>
      <c r="S401" s="9">
        <f t="shared" si="174"/>
        <v>32</v>
      </c>
      <c r="T401" s="12" t="s">
        <v>197</v>
      </c>
      <c r="U401" s="6" t="s">
        <v>141</v>
      </c>
      <c r="V401" s="96">
        <v>32</v>
      </c>
      <c r="W401" s="6" t="s">
        <v>1898</v>
      </c>
      <c r="Y401" s="5" t="s">
        <v>714</v>
      </c>
    </row>
    <row r="402" spans="1:26" ht="110.25" x14ac:dyDescent="0.25">
      <c r="A402" s="71" t="s">
        <v>1851</v>
      </c>
      <c r="B402" s="28" t="s">
        <v>365</v>
      </c>
      <c r="C402" s="5" t="s">
        <v>1413</v>
      </c>
      <c r="D402" s="4" t="s">
        <v>1836</v>
      </c>
      <c r="E402" s="5" t="s">
        <v>1834</v>
      </c>
      <c r="F402" s="4" t="s">
        <v>1737</v>
      </c>
      <c r="G402" s="6"/>
      <c r="H402" s="35"/>
      <c r="I402" s="35"/>
      <c r="J402" s="35"/>
      <c r="K402" s="9">
        <v>2</v>
      </c>
      <c r="L402" s="10">
        <v>2.2000000000000002</v>
      </c>
      <c r="M402" s="6" t="s">
        <v>494</v>
      </c>
      <c r="N402" s="6" t="s">
        <v>494</v>
      </c>
      <c r="O402" s="5"/>
      <c r="P402" s="6"/>
      <c r="Q402" s="12" t="s">
        <v>141</v>
      </c>
      <c r="R402" s="6" t="s">
        <v>141</v>
      </c>
      <c r="S402" s="9">
        <f t="shared" si="174"/>
        <v>48</v>
      </c>
      <c r="T402" s="12" t="s">
        <v>197</v>
      </c>
      <c r="U402" s="6" t="s">
        <v>141</v>
      </c>
      <c r="V402" s="96">
        <v>48</v>
      </c>
      <c r="W402" s="6" t="s">
        <v>1899</v>
      </c>
      <c r="Y402" s="5" t="s">
        <v>714</v>
      </c>
    </row>
    <row r="403" spans="1:26" ht="110.25" x14ac:dyDescent="0.25">
      <c r="A403" s="71" t="s">
        <v>1856</v>
      </c>
      <c r="B403" s="28" t="s">
        <v>365</v>
      </c>
      <c r="C403" s="5" t="s">
        <v>1413</v>
      </c>
      <c r="D403" s="4" t="s">
        <v>1837</v>
      </c>
      <c r="E403" s="5" t="s">
        <v>1834</v>
      </c>
      <c r="F403" s="4" t="s">
        <v>1737</v>
      </c>
      <c r="G403" s="6"/>
      <c r="H403" s="35"/>
      <c r="I403" s="35"/>
      <c r="J403" s="35"/>
      <c r="K403" s="9">
        <v>2</v>
      </c>
      <c r="L403" s="10">
        <v>2.2000000000000002</v>
      </c>
      <c r="M403" s="6" t="s">
        <v>494</v>
      </c>
      <c r="N403" s="6" t="s">
        <v>494</v>
      </c>
      <c r="O403" s="5"/>
      <c r="P403" s="6"/>
      <c r="Q403" s="12" t="s">
        <v>141</v>
      </c>
      <c r="R403" s="6" t="s">
        <v>141</v>
      </c>
      <c r="S403" s="9">
        <f t="shared" si="174"/>
        <v>46</v>
      </c>
      <c r="T403" s="12" t="s">
        <v>1900</v>
      </c>
      <c r="U403" s="6" t="s">
        <v>1901</v>
      </c>
      <c r="V403" s="96">
        <v>44</v>
      </c>
      <c r="W403" s="6" t="s">
        <v>1902</v>
      </c>
      <c r="Y403" s="5" t="s">
        <v>714</v>
      </c>
    </row>
    <row r="404" spans="1:26" ht="110.25" x14ac:dyDescent="0.25">
      <c r="A404" s="71" t="s">
        <v>1857</v>
      </c>
      <c r="B404" s="28" t="s">
        <v>365</v>
      </c>
      <c r="C404" s="5" t="s">
        <v>1413</v>
      </c>
      <c r="D404" s="4" t="s">
        <v>1838</v>
      </c>
      <c r="E404" s="5" t="s">
        <v>1834</v>
      </c>
      <c r="F404" s="4" t="s">
        <v>1737</v>
      </c>
      <c r="G404" s="6"/>
      <c r="H404" s="35"/>
      <c r="I404" s="35"/>
      <c r="J404" s="35"/>
      <c r="K404" s="9">
        <v>2</v>
      </c>
      <c r="L404" s="10">
        <v>2.2000000000000002</v>
      </c>
      <c r="M404" s="6" t="s">
        <v>494</v>
      </c>
      <c r="N404" s="6" t="s">
        <v>494</v>
      </c>
      <c r="O404" s="5"/>
      <c r="P404" s="6"/>
      <c r="Q404" s="12" t="s">
        <v>141</v>
      </c>
      <c r="R404" s="6" t="s">
        <v>141</v>
      </c>
      <c r="S404" s="9">
        <f t="shared" si="174"/>
        <v>19</v>
      </c>
      <c r="T404" s="12" t="s">
        <v>197</v>
      </c>
      <c r="U404" s="6" t="s">
        <v>141</v>
      </c>
      <c r="V404" s="96">
        <v>19</v>
      </c>
      <c r="W404" s="6" t="s">
        <v>1903</v>
      </c>
      <c r="Y404" s="5" t="s">
        <v>714</v>
      </c>
    </row>
    <row r="405" spans="1:26" ht="110.25" x14ac:dyDescent="0.25">
      <c r="A405" s="71" t="s">
        <v>1862</v>
      </c>
      <c r="B405" s="28" t="s">
        <v>365</v>
      </c>
      <c r="C405" s="5" t="s">
        <v>1413</v>
      </c>
      <c r="D405" s="4" t="s">
        <v>1840</v>
      </c>
      <c r="E405" s="5" t="s">
        <v>1834</v>
      </c>
      <c r="F405" s="4" t="s">
        <v>1736</v>
      </c>
      <c r="G405" s="6"/>
      <c r="H405" s="35"/>
      <c r="I405" s="35"/>
      <c r="J405" s="35"/>
      <c r="K405" s="9">
        <v>3</v>
      </c>
      <c r="L405" s="10">
        <v>3.3</v>
      </c>
      <c r="M405" s="6" t="s">
        <v>494</v>
      </c>
      <c r="N405" s="6" t="s">
        <v>494</v>
      </c>
      <c r="O405" s="5"/>
      <c r="P405" s="6"/>
      <c r="Q405" s="12" t="s">
        <v>141</v>
      </c>
      <c r="R405" s="6" t="s">
        <v>141</v>
      </c>
      <c r="S405" s="9">
        <f t="shared" ref="S405" si="175">T405+V405</f>
        <v>30</v>
      </c>
      <c r="T405" s="12" t="s">
        <v>197</v>
      </c>
      <c r="U405" s="6" t="s">
        <v>141</v>
      </c>
      <c r="V405" s="96">
        <v>30</v>
      </c>
      <c r="W405" s="6" t="s">
        <v>1911</v>
      </c>
      <c r="Y405" s="5" t="s">
        <v>714</v>
      </c>
      <c r="Z405" s="45" t="s">
        <v>425</v>
      </c>
    </row>
    <row r="406" spans="1:26" ht="110.25" x14ac:dyDescent="0.25">
      <c r="A406" s="71" t="s">
        <v>1863</v>
      </c>
      <c r="B406" s="28" t="s">
        <v>365</v>
      </c>
      <c r="C406" s="5" t="s">
        <v>1413</v>
      </c>
      <c r="D406" s="4" t="s">
        <v>1842</v>
      </c>
      <c r="E406" s="5" t="s">
        <v>1834</v>
      </c>
      <c r="F406" s="4" t="s">
        <v>1736</v>
      </c>
      <c r="G406" s="6"/>
      <c r="H406" s="35"/>
      <c r="I406" s="35"/>
      <c r="J406" s="35"/>
      <c r="K406" s="9">
        <v>3</v>
      </c>
      <c r="L406" s="10">
        <v>3.3</v>
      </c>
      <c r="M406" s="6" t="s">
        <v>494</v>
      </c>
      <c r="N406" s="6" t="s">
        <v>494</v>
      </c>
      <c r="O406" s="5"/>
      <c r="P406" s="6"/>
      <c r="Q406" s="12" t="s">
        <v>141</v>
      </c>
      <c r="R406" s="6" t="s">
        <v>141</v>
      </c>
      <c r="S406" s="9">
        <f t="shared" ref="S406" si="176">T406+V406</f>
        <v>31</v>
      </c>
      <c r="T406" s="12" t="s">
        <v>197</v>
      </c>
      <c r="U406" s="6" t="s">
        <v>141</v>
      </c>
      <c r="V406" s="96">
        <v>31</v>
      </c>
      <c r="W406" s="6" t="s">
        <v>1860</v>
      </c>
      <c r="Y406" s="5" t="s">
        <v>714</v>
      </c>
      <c r="Z406" s="45" t="s">
        <v>425</v>
      </c>
    </row>
    <row r="407" spans="1:26" ht="110.25" x14ac:dyDescent="0.25">
      <c r="A407" s="71" t="s">
        <v>1868</v>
      </c>
      <c r="B407" s="28" t="s">
        <v>365</v>
      </c>
      <c r="C407" s="5" t="s">
        <v>1413</v>
      </c>
      <c r="D407" s="4" t="s">
        <v>1883</v>
      </c>
      <c r="E407" s="5" t="s">
        <v>1834</v>
      </c>
      <c r="F407" s="4" t="s">
        <v>1737</v>
      </c>
      <c r="G407" s="6"/>
      <c r="H407" s="35"/>
      <c r="I407" s="35"/>
      <c r="J407" s="35"/>
      <c r="K407" s="9">
        <v>2</v>
      </c>
      <c r="L407" s="10">
        <v>2.2000000000000002</v>
      </c>
      <c r="M407" s="6" t="s">
        <v>494</v>
      </c>
      <c r="N407" s="6" t="s">
        <v>494</v>
      </c>
      <c r="O407" s="5"/>
      <c r="P407" s="6"/>
      <c r="Q407" s="12" t="s">
        <v>141</v>
      </c>
      <c r="R407" s="6" t="s">
        <v>141</v>
      </c>
      <c r="S407" s="9">
        <f t="shared" ref="S407:S408" si="177">T407+V407</f>
        <v>18</v>
      </c>
      <c r="T407" s="12" t="s">
        <v>197</v>
      </c>
      <c r="U407" s="6" t="s">
        <v>141</v>
      </c>
      <c r="V407" s="96">
        <v>18</v>
      </c>
      <c r="W407" s="6" t="s">
        <v>1858</v>
      </c>
      <c r="Y407" s="5" t="s">
        <v>714</v>
      </c>
    </row>
    <row r="408" spans="1:26" ht="110.25" x14ac:dyDescent="0.25">
      <c r="A408" s="71" t="s">
        <v>1869</v>
      </c>
      <c r="B408" s="28" t="s">
        <v>365</v>
      </c>
      <c r="C408" s="5" t="s">
        <v>1413</v>
      </c>
      <c r="D408" s="4" t="s">
        <v>1884</v>
      </c>
      <c r="E408" s="5" t="s">
        <v>1834</v>
      </c>
      <c r="F408" s="4" t="s">
        <v>1737</v>
      </c>
      <c r="G408" s="6"/>
      <c r="H408" s="35"/>
      <c r="I408" s="35"/>
      <c r="J408" s="35"/>
      <c r="K408" s="9">
        <v>2</v>
      </c>
      <c r="L408" s="10">
        <v>2.2000000000000002</v>
      </c>
      <c r="M408" s="6" t="s">
        <v>494</v>
      </c>
      <c r="N408" s="6" t="s">
        <v>494</v>
      </c>
      <c r="O408" s="5"/>
      <c r="P408" s="6"/>
      <c r="Q408" s="12" t="s">
        <v>141</v>
      </c>
      <c r="R408" s="6" t="s">
        <v>141</v>
      </c>
      <c r="S408" s="9">
        <f t="shared" si="177"/>
        <v>17</v>
      </c>
      <c r="T408" s="12" t="s">
        <v>197</v>
      </c>
      <c r="U408" s="6" t="s">
        <v>141</v>
      </c>
      <c r="V408" s="96">
        <v>17</v>
      </c>
      <c r="W408" s="6" t="s">
        <v>1859</v>
      </c>
      <c r="Y408" s="5" t="s">
        <v>714</v>
      </c>
    </row>
    <row r="409" spans="1:26" ht="110.25" x14ac:dyDescent="0.25">
      <c r="A409" s="71" t="s">
        <v>1870</v>
      </c>
      <c r="B409" s="28" t="s">
        <v>365</v>
      </c>
      <c r="C409" s="5" t="s">
        <v>1413</v>
      </c>
      <c r="D409" s="4" t="s">
        <v>1864</v>
      </c>
      <c r="E409" s="5" t="s">
        <v>1834</v>
      </c>
      <c r="F409" s="4" t="s">
        <v>1737</v>
      </c>
      <c r="G409" s="6"/>
      <c r="H409" s="35"/>
      <c r="I409" s="35"/>
      <c r="J409" s="35"/>
      <c r="K409" s="9">
        <v>2</v>
      </c>
      <c r="L409" s="10">
        <v>2.2000000000000002</v>
      </c>
      <c r="M409" s="6" t="s">
        <v>494</v>
      </c>
      <c r="N409" s="6" t="s">
        <v>494</v>
      </c>
      <c r="O409" s="5"/>
      <c r="P409" s="6"/>
      <c r="Q409" s="12" t="s">
        <v>141</v>
      </c>
      <c r="R409" s="6" t="s">
        <v>141</v>
      </c>
      <c r="S409" s="9">
        <f t="shared" ref="S409:S410" si="178">T409+V409</f>
        <v>28</v>
      </c>
      <c r="T409" s="12" t="s">
        <v>197</v>
      </c>
      <c r="U409" s="6" t="s">
        <v>141</v>
      </c>
      <c r="V409" s="96">
        <v>28</v>
      </c>
      <c r="W409" s="6" t="s">
        <v>1867</v>
      </c>
      <c r="Y409" s="5" t="s">
        <v>714</v>
      </c>
    </row>
    <row r="410" spans="1:26" ht="110.25" x14ac:dyDescent="0.25">
      <c r="A410" s="71" t="s">
        <v>1877</v>
      </c>
      <c r="B410" s="28" t="s">
        <v>365</v>
      </c>
      <c r="C410" s="5" t="s">
        <v>1413</v>
      </c>
      <c r="D410" s="4" t="s">
        <v>1865</v>
      </c>
      <c r="E410" s="5" t="s">
        <v>1834</v>
      </c>
      <c r="F410" s="4" t="s">
        <v>1737</v>
      </c>
      <c r="G410" s="6"/>
      <c r="H410" s="35"/>
      <c r="I410" s="35"/>
      <c r="J410" s="35"/>
      <c r="K410" s="9">
        <v>2</v>
      </c>
      <c r="L410" s="10">
        <v>2.2000000000000002</v>
      </c>
      <c r="M410" s="6" t="s">
        <v>494</v>
      </c>
      <c r="N410" s="6" t="s">
        <v>494</v>
      </c>
      <c r="O410" s="5"/>
      <c r="P410" s="6"/>
      <c r="Q410" s="12" t="s">
        <v>141</v>
      </c>
      <c r="R410" s="6" t="s">
        <v>141</v>
      </c>
      <c r="S410" s="9">
        <f t="shared" si="178"/>
        <v>35</v>
      </c>
      <c r="T410" s="12" t="s">
        <v>197</v>
      </c>
      <c r="U410" s="6" t="s">
        <v>141</v>
      </c>
      <c r="V410" s="96">
        <v>35</v>
      </c>
      <c r="W410" s="6" t="s">
        <v>1866</v>
      </c>
      <c r="Y410" s="5" t="s">
        <v>714</v>
      </c>
    </row>
    <row r="411" spans="1:26" ht="110.25" x14ac:dyDescent="0.25">
      <c r="A411" s="71" t="s">
        <v>1904</v>
      </c>
      <c r="B411" s="28" t="s">
        <v>365</v>
      </c>
      <c r="C411" s="5" t="s">
        <v>1413</v>
      </c>
      <c r="D411" s="4" t="s">
        <v>1871</v>
      </c>
      <c r="E411" s="5" t="s">
        <v>1834</v>
      </c>
      <c r="F411" s="4" t="s">
        <v>1736</v>
      </c>
      <c r="G411" s="6"/>
      <c r="H411" s="35"/>
      <c r="I411" s="35"/>
      <c r="J411" s="35"/>
      <c r="K411" s="9">
        <v>3</v>
      </c>
      <c r="L411" s="10">
        <v>3.3</v>
      </c>
      <c r="M411" s="6" t="s">
        <v>494</v>
      </c>
      <c r="N411" s="6" t="s">
        <v>494</v>
      </c>
      <c r="O411" s="5"/>
      <c r="P411" s="6"/>
      <c r="Q411" s="12" t="s">
        <v>141</v>
      </c>
      <c r="R411" s="6" t="s">
        <v>141</v>
      </c>
      <c r="S411" s="9">
        <f t="shared" ref="S411:S413" si="179">T411+V411</f>
        <v>51</v>
      </c>
      <c r="T411" s="12" t="s">
        <v>197</v>
      </c>
      <c r="U411" s="6" t="s">
        <v>141</v>
      </c>
      <c r="V411" s="96">
        <v>51</v>
      </c>
      <c r="W411" s="6" t="s">
        <v>1874</v>
      </c>
      <c r="Y411" s="5" t="s">
        <v>714</v>
      </c>
    </row>
    <row r="412" spans="1:26" ht="110.25" x14ac:dyDescent="0.25">
      <c r="A412" s="71" t="s">
        <v>1907</v>
      </c>
      <c r="B412" s="28" t="s">
        <v>365</v>
      </c>
      <c r="C412" s="5" t="s">
        <v>1413</v>
      </c>
      <c r="D412" s="4" t="s">
        <v>1872</v>
      </c>
      <c r="E412" s="5" t="s">
        <v>1834</v>
      </c>
      <c r="F412" s="4" t="s">
        <v>1736</v>
      </c>
      <c r="G412" s="6"/>
      <c r="H412" s="35"/>
      <c r="I412" s="35"/>
      <c r="J412" s="35"/>
      <c r="K412" s="9">
        <v>3</v>
      </c>
      <c r="L412" s="10">
        <v>3.3</v>
      </c>
      <c r="M412" s="6" t="s">
        <v>494</v>
      </c>
      <c r="N412" s="6" t="s">
        <v>494</v>
      </c>
      <c r="O412" s="5"/>
      <c r="P412" s="6"/>
      <c r="Q412" s="12" t="s">
        <v>141</v>
      </c>
      <c r="R412" s="6" t="s">
        <v>141</v>
      </c>
      <c r="S412" s="9">
        <f t="shared" si="179"/>
        <v>78</v>
      </c>
      <c r="T412" s="12" t="s">
        <v>197</v>
      </c>
      <c r="U412" s="6" t="s">
        <v>141</v>
      </c>
      <c r="V412" s="96">
        <v>78</v>
      </c>
      <c r="W412" s="6" t="s">
        <v>1875</v>
      </c>
      <c r="Y412" s="5" t="s">
        <v>714</v>
      </c>
    </row>
    <row r="413" spans="1:26" ht="110.25" x14ac:dyDescent="0.25">
      <c r="A413" s="71" t="s">
        <v>1908</v>
      </c>
      <c r="B413" s="28" t="s">
        <v>365</v>
      </c>
      <c r="C413" s="5" t="s">
        <v>1413</v>
      </c>
      <c r="D413" s="4" t="s">
        <v>1873</v>
      </c>
      <c r="E413" s="5" t="s">
        <v>1834</v>
      </c>
      <c r="F413" s="4" t="s">
        <v>1737</v>
      </c>
      <c r="G413" s="6"/>
      <c r="H413" s="35"/>
      <c r="I413" s="35"/>
      <c r="J413" s="35"/>
      <c r="K413" s="9">
        <v>2</v>
      </c>
      <c r="L413" s="10">
        <v>2.2000000000000002</v>
      </c>
      <c r="M413" s="6" t="s">
        <v>494</v>
      </c>
      <c r="N413" s="6" t="s">
        <v>494</v>
      </c>
      <c r="O413" s="5"/>
      <c r="P413" s="6"/>
      <c r="Q413" s="12" t="s">
        <v>141</v>
      </c>
      <c r="R413" s="6" t="s">
        <v>141</v>
      </c>
      <c r="S413" s="9">
        <f t="shared" si="179"/>
        <v>21</v>
      </c>
      <c r="T413" s="12" t="s">
        <v>197</v>
      </c>
      <c r="U413" s="6" t="s">
        <v>141</v>
      </c>
      <c r="V413" s="96">
        <v>21</v>
      </c>
      <c r="W413" s="6" t="s">
        <v>1876</v>
      </c>
      <c r="Y413" s="5" t="s">
        <v>714</v>
      </c>
    </row>
    <row r="414" spans="1:26" ht="110.25" x14ac:dyDescent="0.25">
      <c r="A414" s="71" t="s">
        <v>1921</v>
      </c>
      <c r="B414" s="28" t="s">
        <v>365</v>
      </c>
      <c r="C414" s="5" t="s">
        <v>1413</v>
      </c>
      <c r="D414" s="4" t="s">
        <v>1878</v>
      </c>
      <c r="E414" s="5" t="s">
        <v>1834</v>
      </c>
      <c r="F414" s="4" t="s">
        <v>1736</v>
      </c>
      <c r="G414" s="6"/>
      <c r="H414" s="35"/>
      <c r="I414" s="35"/>
      <c r="J414" s="35"/>
      <c r="K414" s="9">
        <v>3</v>
      </c>
      <c r="L414" s="10">
        <v>3.3</v>
      </c>
      <c r="M414" s="6" t="s">
        <v>494</v>
      </c>
      <c r="N414" s="6" t="s">
        <v>494</v>
      </c>
      <c r="O414" s="5"/>
      <c r="P414" s="6"/>
      <c r="Q414" s="12" t="s">
        <v>141</v>
      </c>
      <c r="R414" s="6" t="s">
        <v>141</v>
      </c>
      <c r="S414" s="9">
        <f t="shared" ref="S414" si="180">T414+V414</f>
        <v>73</v>
      </c>
      <c r="T414" s="12" t="s">
        <v>197</v>
      </c>
      <c r="U414" s="6" t="s">
        <v>141</v>
      </c>
      <c r="V414" s="96">
        <v>73</v>
      </c>
      <c r="W414" s="6" t="s">
        <v>1879</v>
      </c>
      <c r="Y414" s="5" t="s">
        <v>714</v>
      </c>
    </row>
    <row r="415" spans="1:26" ht="110.25" x14ac:dyDescent="0.25">
      <c r="A415" s="71" t="s">
        <v>1933</v>
      </c>
      <c r="B415" s="28" t="s">
        <v>365</v>
      </c>
      <c r="C415" s="5" t="s">
        <v>1413</v>
      </c>
      <c r="D415" s="4" t="s">
        <v>1968</v>
      </c>
      <c r="E415" s="5" t="s">
        <v>1834</v>
      </c>
      <c r="F415" s="4" t="s">
        <v>1737</v>
      </c>
      <c r="G415" s="6"/>
      <c r="H415" s="35"/>
      <c r="I415" s="35"/>
      <c r="J415" s="35"/>
      <c r="K415" s="9">
        <v>2</v>
      </c>
      <c r="L415" s="10">
        <v>2.2000000000000002</v>
      </c>
      <c r="M415" s="6" t="s">
        <v>494</v>
      </c>
      <c r="N415" s="6" t="s">
        <v>494</v>
      </c>
      <c r="O415" s="5"/>
      <c r="P415" s="6"/>
      <c r="Q415" s="12" t="s">
        <v>141</v>
      </c>
      <c r="R415" s="6" t="s">
        <v>141</v>
      </c>
      <c r="S415" s="9">
        <f t="shared" ref="S415:S416" si="181">T415+V415</f>
        <v>24</v>
      </c>
      <c r="T415" s="12" t="s">
        <v>197</v>
      </c>
      <c r="U415" s="6" t="s">
        <v>141</v>
      </c>
      <c r="V415" s="96">
        <v>24</v>
      </c>
      <c r="W415" s="6" t="s">
        <v>1909</v>
      </c>
      <c r="Y415" s="5" t="s">
        <v>714</v>
      </c>
      <c r="Z415" s="45" t="s">
        <v>425</v>
      </c>
    </row>
    <row r="416" spans="1:26" ht="110.25" x14ac:dyDescent="0.25">
      <c r="A416" s="71" t="s">
        <v>1934</v>
      </c>
      <c r="B416" s="28" t="s">
        <v>365</v>
      </c>
      <c r="C416" s="5" t="s">
        <v>1413</v>
      </c>
      <c r="D416" s="4" t="s">
        <v>2119</v>
      </c>
      <c r="E416" s="5" t="s">
        <v>1834</v>
      </c>
      <c r="F416" s="4" t="s">
        <v>1737</v>
      </c>
      <c r="G416" s="6"/>
      <c r="H416" s="35"/>
      <c r="I416" s="35"/>
      <c r="J416" s="35"/>
      <c r="K416" s="9">
        <v>2</v>
      </c>
      <c r="L416" s="10">
        <v>2.2000000000000002</v>
      </c>
      <c r="M416" s="6" t="s">
        <v>494</v>
      </c>
      <c r="N416" s="6" t="s">
        <v>494</v>
      </c>
      <c r="O416" s="5"/>
      <c r="P416" s="6"/>
      <c r="Q416" s="12" t="s">
        <v>141</v>
      </c>
      <c r="R416" s="6" t="s">
        <v>141</v>
      </c>
      <c r="S416" s="9">
        <f t="shared" si="181"/>
        <v>50</v>
      </c>
      <c r="T416" s="12" t="s">
        <v>197</v>
      </c>
      <c r="U416" s="6" t="s">
        <v>141</v>
      </c>
      <c r="V416" s="96">
        <f>21+27+2</f>
        <v>50</v>
      </c>
      <c r="W416" s="6" t="s">
        <v>1910</v>
      </c>
      <c r="Y416" s="5" t="s">
        <v>714</v>
      </c>
      <c r="Z416" s="45" t="s">
        <v>425</v>
      </c>
    </row>
    <row r="417" spans="1:27" ht="189" x14ac:dyDescent="0.25">
      <c r="A417" s="71" t="s">
        <v>1935</v>
      </c>
      <c r="B417" s="28" t="s">
        <v>365</v>
      </c>
      <c r="C417" s="5" t="s">
        <v>1413</v>
      </c>
      <c r="D417" s="4" t="s">
        <v>1957</v>
      </c>
      <c r="E417" s="5" t="s">
        <v>1834</v>
      </c>
      <c r="F417" s="4" t="s">
        <v>1737</v>
      </c>
      <c r="G417" s="6"/>
      <c r="H417" s="35"/>
      <c r="I417" s="35"/>
      <c r="J417" s="35"/>
      <c r="K417" s="9">
        <v>4</v>
      </c>
      <c r="L417" s="10">
        <v>4.4000000000000004</v>
      </c>
      <c r="M417" s="6" t="s">
        <v>1623</v>
      </c>
      <c r="N417" s="6" t="s">
        <v>1623</v>
      </c>
      <c r="O417" s="5"/>
      <c r="P417" s="6"/>
      <c r="Q417" s="12" t="s">
        <v>141</v>
      </c>
      <c r="R417" s="6" t="s">
        <v>141</v>
      </c>
      <c r="S417" s="9">
        <f t="shared" ref="S417" si="182">T417+V417</f>
        <v>1</v>
      </c>
      <c r="T417" s="12" t="s">
        <v>142</v>
      </c>
      <c r="U417" s="6" t="s">
        <v>243</v>
      </c>
      <c r="V417" s="96">
        <v>0</v>
      </c>
      <c r="W417" s="6" t="s">
        <v>141</v>
      </c>
      <c r="Y417" s="5" t="s">
        <v>1623</v>
      </c>
    </row>
    <row r="418" spans="1:27" ht="126" x14ac:dyDescent="0.25">
      <c r="A418" s="71" t="s">
        <v>1941</v>
      </c>
      <c r="B418" s="28" t="s">
        <v>360</v>
      </c>
      <c r="C418" s="5" t="s">
        <v>1413</v>
      </c>
      <c r="D418" s="4" t="s">
        <v>1944</v>
      </c>
      <c r="E418" s="5" t="s">
        <v>1945</v>
      </c>
      <c r="F418" s="4" t="s">
        <v>1946</v>
      </c>
      <c r="G418" s="6"/>
      <c r="H418" s="35"/>
      <c r="I418" s="35"/>
      <c r="J418" s="35"/>
      <c r="K418" s="9">
        <v>1</v>
      </c>
      <c r="L418" s="10">
        <v>1.1000000000000001</v>
      </c>
      <c r="M418" s="6" t="s">
        <v>1947</v>
      </c>
      <c r="N418" s="6" t="s">
        <v>1947</v>
      </c>
      <c r="O418" s="5"/>
      <c r="P418" s="6"/>
      <c r="Q418" s="12" t="s">
        <v>141</v>
      </c>
      <c r="R418" s="6" t="s">
        <v>141</v>
      </c>
      <c r="S418" s="9">
        <f t="shared" ref="S418:S420" si="183">T418+V418</f>
        <v>1</v>
      </c>
      <c r="T418" s="12" t="s">
        <v>142</v>
      </c>
      <c r="U418" s="6" t="s">
        <v>1948</v>
      </c>
      <c r="V418" s="96">
        <v>0</v>
      </c>
      <c r="W418" s="6" t="s">
        <v>141</v>
      </c>
      <c r="X418" s="88">
        <v>54</v>
      </c>
      <c r="Y418" s="5" t="s">
        <v>1947</v>
      </c>
    </row>
    <row r="419" spans="1:27" ht="126" x14ac:dyDescent="0.25">
      <c r="A419" s="71" t="s">
        <v>1942</v>
      </c>
      <c r="B419" s="28" t="s">
        <v>360</v>
      </c>
      <c r="C419" s="5" t="s">
        <v>1413</v>
      </c>
      <c r="D419" s="4" t="s">
        <v>1955</v>
      </c>
      <c r="E419" s="5" t="s">
        <v>1949</v>
      </c>
      <c r="F419" s="4" t="s">
        <v>1946</v>
      </c>
      <c r="G419" s="6"/>
      <c r="H419" s="35"/>
      <c r="I419" s="35"/>
      <c r="J419" s="35"/>
      <c r="K419" s="9">
        <v>1</v>
      </c>
      <c r="L419" s="10">
        <v>1.1000000000000001</v>
      </c>
      <c r="M419" s="6" t="s">
        <v>1951</v>
      </c>
      <c r="N419" s="6" t="s">
        <v>1951</v>
      </c>
      <c r="O419" s="5"/>
      <c r="P419" s="6"/>
      <c r="Q419" s="12" t="s">
        <v>141</v>
      </c>
      <c r="R419" s="6" t="s">
        <v>141</v>
      </c>
      <c r="S419" s="9">
        <f t="shared" si="183"/>
        <v>1</v>
      </c>
      <c r="T419" s="12" t="s">
        <v>142</v>
      </c>
      <c r="U419" s="6" t="s">
        <v>1952</v>
      </c>
      <c r="V419" s="96">
        <v>0</v>
      </c>
      <c r="W419" s="6" t="s">
        <v>141</v>
      </c>
      <c r="Y419" s="5" t="s">
        <v>1951</v>
      </c>
    </row>
    <row r="420" spans="1:27" ht="126" x14ac:dyDescent="0.25">
      <c r="A420" s="71" t="s">
        <v>1943</v>
      </c>
      <c r="B420" s="28" t="s">
        <v>360</v>
      </c>
      <c r="C420" s="5" t="s">
        <v>1413</v>
      </c>
      <c r="D420" s="4" t="s">
        <v>1956</v>
      </c>
      <c r="E420" s="5" t="s">
        <v>1950</v>
      </c>
      <c r="F420" s="4" t="s">
        <v>1954</v>
      </c>
      <c r="G420" s="6"/>
      <c r="H420" s="35"/>
      <c r="I420" s="35"/>
      <c r="J420" s="35"/>
      <c r="K420" s="9">
        <v>3</v>
      </c>
      <c r="L420" s="10">
        <v>3.3</v>
      </c>
      <c r="M420" s="6" t="s">
        <v>1951</v>
      </c>
      <c r="N420" s="6" t="s">
        <v>1951</v>
      </c>
      <c r="O420" s="5"/>
      <c r="P420" s="6"/>
      <c r="Q420" s="12" t="s">
        <v>141</v>
      </c>
      <c r="R420" s="6" t="s">
        <v>141</v>
      </c>
      <c r="S420" s="9">
        <f t="shared" si="183"/>
        <v>2</v>
      </c>
      <c r="T420" s="12" t="s">
        <v>1900</v>
      </c>
      <c r="U420" s="6" t="s">
        <v>1953</v>
      </c>
      <c r="V420" s="96">
        <v>0</v>
      </c>
      <c r="W420" s="6" t="s">
        <v>141</v>
      </c>
      <c r="Y420" s="5" t="s">
        <v>1951</v>
      </c>
    </row>
    <row r="421" spans="1:27" ht="126" x14ac:dyDescent="0.25">
      <c r="A421" s="71" t="s">
        <v>1979</v>
      </c>
      <c r="B421" s="28" t="s">
        <v>360</v>
      </c>
      <c r="C421" s="5" t="s">
        <v>1413</v>
      </c>
      <c r="D421" s="4" t="s">
        <v>1983</v>
      </c>
      <c r="E421" s="5" t="s">
        <v>1980</v>
      </c>
      <c r="F421" s="4" t="s">
        <v>2125</v>
      </c>
      <c r="G421" s="6"/>
      <c r="H421" s="35"/>
      <c r="I421" s="35"/>
      <c r="J421" s="35"/>
      <c r="K421" s="9">
        <v>2</v>
      </c>
      <c r="L421" s="10">
        <v>2.2000000000000002</v>
      </c>
      <c r="M421" s="6" t="s">
        <v>1984</v>
      </c>
      <c r="N421" s="6" t="s">
        <v>1984</v>
      </c>
      <c r="O421" s="5" t="s">
        <v>1974</v>
      </c>
      <c r="P421" s="6"/>
      <c r="Q421" s="12" t="s">
        <v>1981</v>
      </c>
      <c r="R421" s="6" t="s">
        <v>1982</v>
      </c>
      <c r="S421" s="9">
        <f t="shared" ref="S421" si="184">T421+V421</f>
        <v>0</v>
      </c>
      <c r="T421" s="12" t="s">
        <v>197</v>
      </c>
      <c r="U421" s="6" t="s">
        <v>141</v>
      </c>
      <c r="V421" s="96">
        <v>0</v>
      </c>
      <c r="W421" s="6" t="s">
        <v>141</v>
      </c>
      <c r="Y421" s="5" t="s">
        <v>1984</v>
      </c>
    </row>
    <row r="422" spans="1:27" ht="157.5" x14ac:dyDescent="0.25">
      <c r="A422" s="71" t="s">
        <v>1985</v>
      </c>
      <c r="B422" s="28" t="s">
        <v>356</v>
      </c>
      <c r="C422" s="5" t="s">
        <v>1413</v>
      </c>
      <c r="D422" s="4" t="s">
        <v>1999</v>
      </c>
      <c r="E422" s="5"/>
      <c r="F422" s="4" t="s">
        <v>2125</v>
      </c>
      <c r="G422" s="6"/>
      <c r="H422" s="35"/>
      <c r="I422" s="35"/>
      <c r="J422" s="35"/>
      <c r="K422" s="9">
        <v>2</v>
      </c>
      <c r="L422" s="10">
        <v>2.2000000000000002</v>
      </c>
      <c r="M422" s="6" t="s">
        <v>2081</v>
      </c>
      <c r="N422" s="121" t="str">
        <f>M422</f>
        <v>Садовое некоммерческое товарищество "Рябинушка-2", ОГРН 1055905517030, Пермский край, Краснокамский ГО, массив Алешиха, территория СНТ "Рябинушка-2"</v>
      </c>
      <c r="O422" s="5" t="s">
        <v>1974</v>
      </c>
      <c r="P422" s="6"/>
      <c r="Q422" s="12"/>
      <c r="R422" s="6" t="s">
        <v>2082</v>
      </c>
      <c r="S422" s="9">
        <f t="shared" ref="S422:S435" si="185">T422+V422</f>
        <v>0</v>
      </c>
      <c r="T422" s="12" t="s">
        <v>197</v>
      </c>
      <c r="U422" s="6" t="s">
        <v>141</v>
      </c>
      <c r="V422" s="96">
        <v>0</v>
      </c>
      <c r="W422" s="6" t="s">
        <v>141</v>
      </c>
      <c r="Y422" s="121" t="str">
        <f>N422</f>
        <v>Садовое некоммерческое товарищество "Рябинушка-2", ОГРН 1055905517030, Пермский край, Краснокамский ГО, массив Алешиха, территория СНТ "Рябинушка-2"</v>
      </c>
    </row>
    <row r="423" spans="1:27" ht="157.5" x14ac:dyDescent="0.25">
      <c r="A423" s="71" t="s">
        <v>1986</v>
      </c>
      <c r="B423" s="28" t="s">
        <v>356</v>
      </c>
      <c r="C423" s="5" t="s">
        <v>1413</v>
      </c>
      <c r="D423" s="4" t="s">
        <v>2000</v>
      </c>
      <c r="E423" s="5"/>
      <c r="F423" s="4" t="s">
        <v>2125</v>
      </c>
      <c r="G423" s="6"/>
      <c r="H423" s="35"/>
      <c r="I423" s="35"/>
      <c r="J423" s="35"/>
      <c r="K423" s="9">
        <v>2</v>
      </c>
      <c r="L423" s="10">
        <v>2.2000000000000002</v>
      </c>
      <c r="M423" s="6" t="s">
        <v>2072</v>
      </c>
      <c r="N423" s="121" t="str">
        <f t="shared" ref="N423:N431" si="186">M423</f>
        <v>Садовое некоммерческое товарищество "Прогресс", ОГРН 1025901847894, Пермский край, Краснокамский ГО, массив Алешиха, территория СНТ "Прогресс"</v>
      </c>
      <c r="O423" s="5" t="s">
        <v>1974</v>
      </c>
      <c r="P423" s="6"/>
      <c r="Q423" s="12"/>
      <c r="R423" s="6" t="s">
        <v>2083</v>
      </c>
      <c r="S423" s="9">
        <f t="shared" si="185"/>
        <v>0</v>
      </c>
      <c r="T423" s="12" t="s">
        <v>197</v>
      </c>
      <c r="U423" s="6" t="s">
        <v>141</v>
      </c>
      <c r="V423" s="96">
        <v>0</v>
      </c>
      <c r="W423" s="6" t="s">
        <v>141</v>
      </c>
      <c r="Y423" s="121" t="str">
        <f t="shared" ref="Y423:Y431" si="187">N423</f>
        <v>Садовое некоммерческое товарищество "Прогресс", ОГРН 1025901847894, Пермский край, Краснокамский ГО, массив Алешиха, территория СНТ "Прогресс"</v>
      </c>
    </row>
    <row r="424" spans="1:27" ht="157.5" x14ac:dyDescent="0.25">
      <c r="A424" s="71" t="s">
        <v>1987</v>
      </c>
      <c r="B424" s="28" t="s">
        <v>356</v>
      </c>
      <c r="C424" s="5" t="s">
        <v>1413</v>
      </c>
      <c r="D424" s="4" t="s">
        <v>2001</v>
      </c>
      <c r="E424" s="5"/>
      <c r="F424" s="4" t="s">
        <v>2125</v>
      </c>
      <c r="G424" s="6"/>
      <c r="H424" s="35"/>
      <c r="I424" s="35"/>
      <c r="J424" s="35"/>
      <c r="K424" s="9">
        <v>2</v>
      </c>
      <c r="L424" s="10">
        <v>2.2000000000000002</v>
      </c>
      <c r="M424" s="6" t="s">
        <v>2072</v>
      </c>
      <c r="N424" s="121" t="str">
        <f t="shared" si="186"/>
        <v>Садовое некоммерческое товарищество "Прогресс", ОГРН 1025901847894, Пермский край, Краснокамский ГО, массив Алешиха, территория СНТ "Прогресс"</v>
      </c>
      <c r="O424" s="5" t="s">
        <v>1974</v>
      </c>
      <c r="P424" s="6"/>
      <c r="Q424" s="12"/>
      <c r="R424" s="6" t="s">
        <v>2083</v>
      </c>
      <c r="S424" s="9">
        <f t="shared" si="185"/>
        <v>0</v>
      </c>
      <c r="T424" s="12" t="s">
        <v>197</v>
      </c>
      <c r="U424" s="6" t="s">
        <v>141</v>
      </c>
      <c r="V424" s="96">
        <v>0</v>
      </c>
      <c r="W424" s="6" t="s">
        <v>141</v>
      </c>
      <c r="Y424" s="121" t="str">
        <f t="shared" si="187"/>
        <v>Садовое некоммерческое товарищество "Прогресс", ОГРН 1025901847894, Пермский край, Краснокамский ГО, массив Алешиха, территория СНТ "Прогресс"</v>
      </c>
    </row>
    <row r="425" spans="1:27" ht="157.5" x14ac:dyDescent="0.25">
      <c r="A425" s="71" t="s">
        <v>1988</v>
      </c>
      <c r="B425" s="28" t="s">
        <v>356</v>
      </c>
      <c r="C425" s="5" t="s">
        <v>1413</v>
      </c>
      <c r="D425" s="4" t="s">
        <v>2079</v>
      </c>
      <c r="E425" s="5"/>
      <c r="F425" s="4" t="s">
        <v>2125</v>
      </c>
      <c r="G425" s="6"/>
      <c r="H425" s="35"/>
      <c r="I425" s="35"/>
      <c r="J425" s="35"/>
      <c r="K425" s="9">
        <v>2</v>
      </c>
      <c r="L425" s="10">
        <v>2.2000000000000002</v>
      </c>
      <c r="M425" s="6" t="s">
        <v>2080</v>
      </c>
      <c r="N425" s="121" t="str">
        <f t="shared" si="186"/>
        <v>Садовое некоммерческое товарищество "Ягодка-1", ОГРН 1025901847619, Пермский край, Краснокамский ГО, массив Алешиха, территория СНТ "Ягодка-1"</v>
      </c>
      <c r="O425" s="5" t="s">
        <v>1974</v>
      </c>
      <c r="P425" s="6"/>
      <c r="Q425" s="12"/>
      <c r="R425" s="6" t="s">
        <v>2084</v>
      </c>
      <c r="S425" s="9">
        <f t="shared" si="185"/>
        <v>0</v>
      </c>
      <c r="T425" s="12" t="s">
        <v>197</v>
      </c>
      <c r="U425" s="6" t="s">
        <v>141</v>
      </c>
      <c r="V425" s="96">
        <v>0</v>
      </c>
      <c r="W425" s="6" t="s">
        <v>141</v>
      </c>
      <c r="Y425" s="121" t="str">
        <f t="shared" si="187"/>
        <v>Садовое некоммерческое товарищество "Ягодка-1", ОГРН 1025901847619, Пермский край, Краснокамский ГО, массив Алешиха, территория СНТ "Ягодка-1"</v>
      </c>
    </row>
    <row r="426" spans="1:27" ht="173.25" x14ac:dyDescent="0.25">
      <c r="A426" s="71" t="s">
        <v>1989</v>
      </c>
      <c r="B426" s="28" t="s">
        <v>356</v>
      </c>
      <c r="C426" s="5" t="s">
        <v>1413</v>
      </c>
      <c r="D426" s="4" t="s">
        <v>2002</v>
      </c>
      <c r="E426" s="5"/>
      <c r="F426" s="4" t="s">
        <v>2125</v>
      </c>
      <c r="G426" s="6"/>
      <c r="H426" s="35"/>
      <c r="I426" s="35"/>
      <c r="J426" s="35"/>
      <c r="K426" s="9">
        <v>2</v>
      </c>
      <c r="L426" s="10">
        <v>2.2000000000000002</v>
      </c>
      <c r="M426" s="6" t="s">
        <v>2078</v>
      </c>
      <c r="N426" s="121" t="str">
        <f t="shared" si="186"/>
        <v>Садовое некоммерческое товарищество "Сад № 271 АО "Электроприборного завода", ОГРН 1025901849577, Пермский край, Краснокамский ГО, тер. СНТ, массив Алешиха</v>
      </c>
      <c r="O426" s="5" t="s">
        <v>1974</v>
      </c>
      <c r="P426" s="6"/>
      <c r="Q426" s="12"/>
      <c r="R426" s="6" t="s">
        <v>2085</v>
      </c>
      <c r="S426" s="9">
        <f t="shared" si="185"/>
        <v>0</v>
      </c>
      <c r="T426" s="12" t="s">
        <v>197</v>
      </c>
      <c r="U426" s="6" t="s">
        <v>141</v>
      </c>
      <c r="V426" s="96">
        <v>0</v>
      </c>
      <c r="W426" s="6" t="s">
        <v>141</v>
      </c>
      <c r="Y426" s="121" t="str">
        <f t="shared" si="187"/>
        <v>Садовое некоммерческое товарищество "Сад № 271 АО "Электроприборного завода", ОГРН 1025901849577, Пермский край, Краснокамский ГО, тер. СНТ, массив Алешиха</v>
      </c>
    </row>
    <row r="427" spans="1:27" ht="126" x14ac:dyDescent="0.25">
      <c r="A427" s="71" t="s">
        <v>1990</v>
      </c>
      <c r="B427" s="28" t="s">
        <v>356</v>
      </c>
      <c r="C427" s="5" t="s">
        <v>1413</v>
      </c>
      <c r="D427" s="4" t="s">
        <v>2003</v>
      </c>
      <c r="E427" s="5"/>
      <c r="F427" s="4" t="s">
        <v>2125</v>
      </c>
      <c r="G427" s="6"/>
      <c r="H427" s="35"/>
      <c r="I427" s="35"/>
      <c r="J427" s="35"/>
      <c r="K427" s="9">
        <v>2</v>
      </c>
      <c r="L427" s="10">
        <v>2.2000000000000002</v>
      </c>
      <c r="M427" s="6" t="s">
        <v>2076</v>
      </c>
      <c r="N427" s="121" t="str">
        <f t="shared" si="186"/>
        <v>Садовое некоммерческое товарищество "Урал", ОГРН 1095916000762, Пермский край, Краснокамский ГО, тер. Шеметевское лесничество</v>
      </c>
      <c r="O427" s="5" t="s">
        <v>1974</v>
      </c>
      <c r="P427" s="6"/>
      <c r="Q427" s="12"/>
      <c r="R427" s="6" t="s">
        <v>2086</v>
      </c>
      <c r="S427" s="9">
        <f t="shared" si="185"/>
        <v>0</v>
      </c>
      <c r="T427" s="12" t="s">
        <v>197</v>
      </c>
      <c r="U427" s="6" t="s">
        <v>141</v>
      </c>
      <c r="V427" s="96">
        <v>0</v>
      </c>
      <c r="W427" s="6" t="s">
        <v>141</v>
      </c>
      <c r="Y427" s="121" t="str">
        <f>N427</f>
        <v>Садовое некоммерческое товарищество "Урал", ОГРН 1095916000762, Пермский край, Краснокамский ГО, тер. Шеметевское лесничество</v>
      </c>
    </row>
    <row r="428" spans="1:27" ht="126" x14ac:dyDescent="0.25">
      <c r="A428" s="71" t="s">
        <v>1991</v>
      </c>
      <c r="B428" s="28" t="s">
        <v>356</v>
      </c>
      <c r="C428" s="5" t="s">
        <v>1413</v>
      </c>
      <c r="D428" s="4" t="s">
        <v>2004</v>
      </c>
      <c r="E428" s="5"/>
      <c r="F428" s="4" t="s">
        <v>2125</v>
      </c>
      <c r="G428" s="6"/>
      <c r="H428" s="35"/>
      <c r="I428" s="35"/>
      <c r="J428" s="35"/>
      <c r="K428" s="9">
        <v>2</v>
      </c>
      <c r="L428" s="10">
        <v>2.2000000000000002</v>
      </c>
      <c r="M428" s="6" t="s">
        <v>2073</v>
      </c>
      <c r="N428" s="121" t="str">
        <f t="shared" si="186"/>
        <v>Садовое некоммерческое товарищество "Надежда", ОГРН 1025901846002, Пермский край, Краснокамский ГО, массив Алешиха</v>
      </c>
      <c r="O428" s="5" t="s">
        <v>1974</v>
      </c>
      <c r="P428" s="6"/>
      <c r="Q428" s="12"/>
      <c r="R428" s="6" t="s">
        <v>2087</v>
      </c>
      <c r="S428" s="9">
        <f t="shared" si="185"/>
        <v>0</v>
      </c>
      <c r="T428" s="12" t="s">
        <v>197</v>
      </c>
      <c r="U428" s="6" t="s">
        <v>141</v>
      </c>
      <c r="V428" s="96">
        <v>0</v>
      </c>
      <c r="W428" s="6" t="s">
        <v>141</v>
      </c>
      <c r="Y428" s="121" t="str">
        <f t="shared" si="187"/>
        <v>Садовое некоммерческое товарищество "Надежда", ОГРН 1025901846002, Пермский край, Краснокамский ГО, массив Алешиха</v>
      </c>
    </row>
    <row r="429" spans="1:27" ht="126" x14ac:dyDescent="0.25">
      <c r="A429" s="71" t="s">
        <v>1992</v>
      </c>
      <c r="B429" s="28" t="s">
        <v>356</v>
      </c>
      <c r="C429" s="5" t="s">
        <v>1413</v>
      </c>
      <c r="D429" s="4" t="s">
        <v>2005</v>
      </c>
      <c r="E429" s="5"/>
      <c r="F429" s="4" t="s">
        <v>2125</v>
      </c>
      <c r="G429" s="6"/>
      <c r="H429" s="35"/>
      <c r="I429" s="35"/>
      <c r="J429" s="35"/>
      <c r="K429" s="9">
        <v>2</v>
      </c>
      <c r="L429" s="10">
        <v>2.2000000000000002</v>
      </c>
      <c r="M429" s="6" t="s">
        <v>2077</v>
      </c>
      <c r="N429" s="121" t="str">
        <f t="shared" si="186"/>
        <v>Садовое некоммерческое товарищество "Малиновка", ОГРН 1035901547010, Пермский край, Краснокамский ГО, тер. СНТ "Малиновка"</v>
      </c>
      <c r="O429" s="5" t="s">
        <v>1974</v>
      </c>
      <c r="P429" s="6"/>
      <c r="Q429" s="12"/>
      <c r="R429" s="6" t="s">
        <v>2088</v>
      </c>
      <c r="S429" s="9">
        <f t="shared" si="185"/>
        <v>0</v>
      </c>
      <c r="T429" s="12" t="s">
        <v>197</v>
      </c>
      <c r="U429" s="6" t="s">
        <v>141</v>
      </c>
      <c r="V429" s="96">
        <v>0</v>
      </c>
      <c r="W429" s="6" t="s">
        <v>141</v>
      </c>
      <c r="Y429" s="121" t="str">
        <f t="shared" si="187"/>
        <v>Садовое некоммерческое товарищество "Малиновка", ОГРН 1035901547010, Пермский край, Краснокамский ГО, тер. СНТ "Малиновка"</v>
      </c>
    </row>
    <row r="430" spans="1:27" ht="157.5" x14ac:dyDescent="0.25">
      <c r="A430" s="71" t="s">
        <v>1993</v>
      </c>
      <c r="B430" s="28" t="s">
        <v>356</v>
      </c>
      <c r="C430" s="5" t="s">
        <v>1413</v>
      </c>
      <c r="D430" s="4" t="s">
        <v>2006</v>
      </c>
      <c r="E430" s="5"/>
      <c r="F430" s="4" t="s">
        <v>2125</v>
      </c>
      <c r="G430" s="6"/>
      <c r="H430" s="35"/>
      <c r="I430" s="35"/>
      <c r="J430" s="35"/>
      <c r="K430" s="9">
        <v>2</v>
      </c>
      <c r="L430" s="10">
        <v>2.2000000000000002</v>
      </c>
      <c r="M430" s="6" t="s">
        <v>2075</v>
      </c>
      <c r="N430" s="121" t="str">
        <f t="shared" si="186"/>
        <v>Садовое некоммерческое товарищество "Уралочка-2", ОГРН 1025901843670, Пермский край, Краснокамский ГО, массив Алешиха, территория СНТ "Уралочка-2"</v>
      </c>
      <c r="O430" s="5" t="s">
        <v>1974</v>
      </c>
      <c r="P430" s="6"/>
      <c r="Q430" s="12"/>
      <c r="R430" s="6" t="s">
        <v>2089</v>
      </c>
      <c r="S430" s="9">
        <f t="shared" si="185"/>
        <v>0</v>
      </c>
      <c r="T430" s="12" t="s">
        <v>197</v>
      </c>
      <c r="U430" s="6" t="s">
        <v>141</v>
      </c>
      <c r="V430" s="96">
        <v>0</v>
      </c>
      <c r="W430" s="6" t="s">
        <v>141</v>
      </c>
      <c r="Y430" s="121" t="str">
        <f t="shared" si="187"/>
        <v>Садовое некоммерческое товарищество "Уралочка-2", ОГРН 1025901843670, Пермский край, Краснокамский ГО, массив Алешиха, территория СНТ "Уралочка-2"</v>
      </c>
    </row>
    <row r="431" spans="1:27" ht="141.75" x14ac:dyDescent="0.25">
      <c r="A431" s="71" t="s">
        <v>1994</v>
      </c>
      <c r="B431" s="28" t="s">
        <v>356</v>
      </c>
      <c r="C431" s="5" t="s">
        <v>1413</v>
      </c>
      <c r="D431" s="4" t="s">
        <v>2007</v>
      </c>
      <c r="E431" s="5"/>
      <c r="F431" s="4" t="s">
        <v>2125</v>
      </c>
      <c r="G431" s="6"/>
      <c r="H431" s="35"/>
      <c r="I431" s="35"/>
      <c r="J431" s="35"/>
      <c r="K431" s="9">
        <v>2</v>
      </c>
      <c r="L431" s="10">
        <v>2.2000000000000002</v>
      </c>
      <c r="M431" s="6" t="s">
        <v>2074</v>
      </c>
      <c r="N431" s="121" t="str">
        <f t="shared" si="186"/>
        <v>Садовое некоммерческое товарищество "Речник", ОГРН 1025901847531, Пермский край, Краснокамский ГО, массив Алешиха, территория СНТ "Речник"</v>
      </c>
      <c r="O431" s="5" t="s">
        <v>1974</v>
      </c>
      <c r="P431" s="6"/>
      <c r="Q431" s="12"/>
      <c r="R431" s="6" t="s">
        <v>2090</v>
      </c>
      <c r="S431" s="9">
        <f t="shared" si="185"/>
        <v>0</v>
      </c>
      <c r="T431" s="12" t="s">
        <v>197</v>
      </c>
      <c r="U431" s="6" t="s">
        <v>141</v>
      </c>
      <c r="V431" s="96">
        <v>0</v>
      </c>
      <c r="W431" s="6" t="s">
        <v>141</v>
      </c>
      <c r="Y431" s="121" t="str">
        <f t="shared" si="187"/>
        <v>Садовое некоммерческое товарищество "Речник", ОГРН 1025901847531, Пермский край, Краснокамский ГО, массив Алешиха, территория СНТ "Речник"</v>
      </c>
    </row>
    <row r="432" spans="1:27" ht="94.5" x14ac:dyDescent="0.25">
      <c r="A432" s="71" t="s">
        <v>1995</v>
      </c>
      <c r="B432" s="28" t="s">
        <v>360</v>
      </c>
      <c r="C432" s="5" t="s">
        <v>1413</v>
      </c>
      <c r="D432" s="4" t="s">
        <v>2023</v>
      </c>
      <c r="E432" s="5"/>
      <c r="F432" s="4" t="s">
        <v>2125</v>
      </c>
      <c r="G432" s="6"/>
      <c r="H432" s="35"/>
      <c r="I432" s="35"/>
      <c r="J432" s="35"/>
      <c r="K432" s="9">
        <v>2</v>
      </c>
      <c r="L432" s="10">
        <v>2.2000000000000002</v>
      </c>
      <c r="M432" s="6" t="s">
        <v>494</v>
      </c>
      <c r="N432" s="6"/>
      <c r="O432" s="5" t="s">
        <v>1974</v>
      </c>
      <c r="P432" s="6"/>
      <c r="Q432" s="12" t="s">
        <v>141</v>
      </c>
      <c r="R432" s="6" t="s">
        <v>141</v>
      </c>
      <c r="S432" s="9">
        <f t="shared" si="185"/>
        <v>21</v>
      </c>
      <c r="T432" s="12" t="s">
        <v>197</v>
      </c>
      <c r="U432" s="6" t="s">
        <v>141</v>
      </c>
      <c r="V432" s="96">
        <v>21</v>
      </c>
      <c r="W432" s="6" t="s">
        <v>2067</v>
      </c>
      <c r="X432" s="88">
        <f>4*V432</f>
        <v>84</v>
      </c>
      <c r="Y432" s="5" t="s">
        <v>714</v>
      </c>
      <c r="AA432" s="46">
        <f>X432*1.82/12/30*1.25</f>
        <v>0.53083333333333338</v>
      </c>
    </row>
    <row r="433" spans="1:27" ht="94.5" x14ac:dyDescent="0.25">
      <c r="A433" s="71" t="s">
        <v>1996</v>
      </c>
      <c r="B433" s="28" t="s">
        <v>360</v>
      </c>
      <c r="C433" s="5" t="s">
        <v>1413</v>
      </c>
      <c r="D433" s="4" t="s">
        <v>2025</v>
      </c>
      <c r="E433" s="5"/>
      <c r="F433" s="4" t="s">
        <v>2055</v>
      </c>
      <c r="G433" s="6"/>
      <c r="H433" s="35"/>
      <c r="I433" s="35"/>
      <c r="J433" s="35"/>
      <c r="K433" s="9">
        <v>3</v>
      </c>
      <c r="L433" s="10">
        <v>3.3</v>
      </c>
      <c r="M433" s="6" t="s">
        <v>494</v>
      </c>
      <c r="N433" s="6"/>
      <c r="O433" s="5" t="s">
        <v>1974</v>
      </c>
      <c r="P433" s="6"/>
      <c r="Q433" s="12" t="s">
        <v>141</v>
      </c>
      <c r="R433" s="6" t="s">
        <v>141</v>
      </c>
      <c r="S433" s="9">
        <f t="shared" si="185"/>
        <v>45</v>
      </c>
      <c r="T433" s="12" t="s">
        <v>197</v>
      </c>
      <c r="U433" s="6" t="s">
        <v>141</v>
      </c>
      <c r="V433" s="96">
        <v>45</v>
      </c>
      <c r="W433" s="6" t="s">
        <v>2066</v>
      </c>
      <c r="X433" s="88">
        <f t="shared" ref="X433:X437" si="188">4*V433</f>
        <v>180</v>
      </c>
      <c r="Y433" s="5" t="s">
        <v>714</v>
      </c>
      <c r="AA433" s="46">
        <f>X433*1.82/12/30*1.25</f>
        <v>1.1375</v>
      </c>
    </row>
    <row r="434" spans="1:27" ht="94.5" x14ac:dyDescent="0.25">
      <c r="A434" s="71" t="s">
        <v>1997</v>
      </c>
      <c r="B434" s="28" t="s">
        <v>360</v>
      </c>
      <c r="C434" s="5" t="s">
        <v>1413</v>
      </c>
      <c r="D434" s="4" t="s">
        <v>2024</v>
      </c>
      <c r="E434" s="5"/>
      <c r="F434" s="4" t="s">
        <v>2125</v>
      </c>
      <c r="G434" s="6"/>
      <c r="H434" s="35"/>
      <c r="I434" s="35"/>
      <c r="J434" s="35"/>
      <c r="K434" s="9">
        <v>2</v>
      </c>
      <c r="L434" s="10">
        <v>2.2000000000000002</v>
      </c>
      <c r="M434" s="6" t="s">
        <v>494</v>
      </c>
      <c r="N434" s="6"/>
      <c r="O434" s="5" t="s">
        <v>1974</v>
      </c>
      <c r="P434" s="6"/>
      <c r="Q434" s="12" t="s">
        <v>141</v>
      </c>
      <c r="R434" s="6" t="s">
        <v>141</v>
      </c>
      <c r="S434" s="9">
        <f t="shared" si="185"/>
        <v>18</v>
      </c>
      <c r="T434" s="12" t="s">
        <v>197</v>
      </c>
      <c r="U434" s="6" t="s">
        <v>141</v>
      </c>
      <c r="V434" s="96">
        <v>18</v>
      </c>
      <c r="W434" s="6" t="s">
        <v>2068</v>
      </c>
      <c r="X434" s="88">
        <f t="shared" si="188"/>
        <v>72</v>
      </c>
      <c r="Y434" s="5" t="s">
        <v>714</v>
      </c>
      <c r="AA434" s="46">
        <f t="shared" ref="AA434:AA437" si="189">X434*1.82/12/30*1.25</f>
        <v>0.45499999999999996</v>
      </c>
    </row>
    <row r="435" spans="1:27" ht="94.5" x14ac:dyDescent="0.25">
      <c r="A435" s="71" t="s">
        <v>1998</v>
      </c>
      <c r="B435" s="28" t="s">
        <v>360</v>
      </c>
      <c r="C435" s="5" t="s">
        <v>1413</v>
      </c>
      <c r="D435" s="4" t="s">
        <v>2026</v>
      </c>
      <c r="E435" s="5"/>
      <c r="F435" s="4" t="s">
        <v>2055</v>
      </c>
      <c r="G435" s="6"/>
      <c r="H435" s="35"/>
      <c r="I435" s="35"/>
      <c r="J435" s="35"/>
      <c r="K435" s="9">
        <v>3</v>
      </c>
      <c r="L435" s="10">
        <v>3.3</v>
      </c>
      <c r="M435" s="6" t="s">
        <v>494</v>
      </c>
      <c r="N435" s="6"/>
      <c r="O435" s="5" t="s">
        <v>1974</v>
      </c>
      <c r="P435" s="6"/>
      <c r="Q435" s="12" t="s">
        <v>141</v>
      </c>
      <c r="R435" s="6" t="s">
        <v>141</v>
      </c>
      <c r="S435" s="9">
        <f t="shared" si="185"/>
        <v>48</v>
      </c>
      <c r="T435" s="12" t="s">
        <v>197</v>
      </c>
      <c r="U435" s="6" t="s">
        <v>141</v>
      </c>
      <c r="V435" s="96">
        <v>48</v>
      </c>
      <c r="W435" s="6" t="s">
        <v>2069</v>
      </c>
      <c r="X435" s="88">
        <f t="shared" si="188"/>
        <v>192</v>
      </c>
      <c r="Y435" s="5" t="s">
        <v>714</v>
      </c>
      <c r="AA435" s="46">
        <f t="shared" si="189"/>
        <v>1.2133333333333334</v>
      </c>
    </row>
    <row r="436" spans="1:27" ht="110.25" x14ac:dyDescent="0.25">
      <c r="A436" s="71" t="s">
        <v>2008</v>
      </c>
      <c r="B436" s="28" t="s">
        <v>360</v>
      </c>
      <c r="C436" s="5" t="s">
        <v>1413</v>
      </c>
      <c r="D436" s="4" t="s">
        <v>2027</v>
      </c>
      <c r="E436" s="5"/>
      <c r="F436" s="4" t="s">
        <v>2055</v>
      </c>
      <c r="G436" s="6"/>
      <c r="H436" s="35"/>
      <c r="I436" s="35"/>
      <c r="J436" s="35"/>
      <c r="K436" s="9">
        <v>3</v>
      </c>
      <c r="L436" s="10">
        <v>3.3</v>
      </c>
      <c r="M436" s="6" t="s">
        <v>494</v>
      </c>
      <c r="N436" s="6"/>
      <c r="O436" s="5" t="s">
        <v>1974</v>
      </c>
      <c r="P436" s="6"/>
      <c r="Q436" s="12" t="s">
        <v>141</v>
      </c>
      <c r="R436" s="6" t="s">
        <v>141</v>
      </c>
      <c r="S436" s="9">
        <f t="shared" ref="S436:S450" si="190">T436+V436</f>
        <v>68</v>
      </c>
      <c r="T436" s="12" t="s">
        <v>197</v>
      </c>
      <c r="U436" s="6" t="s">
        <v>141</v>
      </c>
      <c r="V436" s="96">
        <f>29+16+13+7+3</f>
        <v>68</v>
      </c>
      <c r="W436" s="6" t="s">
        <v>2070</v>
      </c>
      <c r="X436" s="88">
        <f t="shared" si="188"/>
        <v>272</v>
      </c>
      <c r="Y436" s="5" t="s">
        <v>714</v>
      </c>
      <c r="AA436" s="46">
        <f t="shared" si="189"/>
        <v>1.7188888888888889</v>
      </c>
    </row>
    <row r="437" spans="1:27" ht="110.25" x14ac:dyDescent="0.25">
      <c r="A437" s="71" t="s">
        <v>2009</v>
      </c>
      <c r="B437" s="28" t="s">
        <v>360</v>
      </c>
      <c r="C437" s="5" t="s">
        <v>1413</v>
      </c>
      <c r="D437" s="4" t="s">
        <v>2028</v>
      </c>
      <c r="E437" s="5"/>
      <c r="F437" s="4" t="s">
        <v>2055</v>
      </c>
      <c r="G437" s="6"/>
      <c r="H437" s="35"/>
      <c r="I437" s="35"/>
      <c r="J437" s="35"/>
      <c r="K437" s="9">
        <v>3</v>
      </c>
      <c r="L437" s="10">
        <v>3.3</v>
      </c>
      <c r="M437" s="6" t="s">
        <v>494</v>
      </c>
      <c r="N437" s="6"/>
      <c r="O437" s="5" t="s">
        <v>1974</v>
      </c>
      <c r="P437" s="6"/>
      <c r="Q437" s="12" t="s">
        <v>141</v>
      </c>
      <c r="R437" s="6" t="s">
        <v>141</v>
      </c>
      <c r="S437" s="9">
        <f t="shared" si="190"/>
        <v>91</v>
      </c>
      <c r="T437" s="12" t="s">
        <v>197</v>
      </c>
      <c r="U437" s="6" t="s">
        <v>141</v>
      </c>
      <c r="V437" s="96">
        <f>4+3+19+20+25+10+10</f>
        <v>91</v>
      </c>
      <c r="W437" s="6" t="s">
        <v>2071</v>
      </c>
      <c r="X437" s="88">
        <f t="shared" si="188"/>
        <v>364</v>
      </c>
      <c r="Y437" s="5" t="s">
        <v>714</v>
      </c>
      <c r="AA437" s="46">
        <f t="shared" si="189"/>
        <v>2.3002777777777781</v>
      </c>
    </row>
    <row r="438" spans="1:27" ht="94.5" x14ac:dyDescent="0.25">
      <c r="A438" s="71" t="s">
        <v>2010</v>
      </c>
      <c r="B438" s="28" t="s">
        <v>360</v>
      </c>
      <c r="C438" s="5" t="s">
        <v>1413</v>
      </c>
      <c r="D438" s="4" t="s">
        <v>2029</v>
      </c>
      <c r="E438" s="5" t="s">
        <v>2030</v>
      </c>
      <c r="F438" s="4" t="s">
        <v>2031</v>
      </c>
      <c r="G438" s="6"/>
      <c r="H438" s="35" t="s">
        <v>2032</v>
      </c>
      <c r="I438" s="35"/>
      <c r="J438" s="35"/>
      <c r="K438" s="9">
        <v>2</v>
      </c>
      <c r="L438" s="10">
        <v>2.2000000000000002</v>
      </c>
      <c r="M438" s="6" t="s">
        <v>2038</v>
      </c>
      <c r="N438" s="6"/>
      <c r="O438" s="5" t="s">
        <v>1974</v>
      </c>
      <c r="P438" s="6"/>
      <c r="Q438" s="12" t="s">
        <v>141</v>
      </c>
      <c r="R438" s="6" t="s">
        <v>141</v>
      </c>
      <c r="S438" s="9">
        <f t="shared" si="190"/>
        <v>1</v>
      </c>
      <c r="T438" s="12" t="s">
        <v>142</v>
      </c>
      <c r="U438" s="6" t="s">
        <v>2033</v>
      </c>
      <c r="V438" s="96">
        <v>0</v>
      </c>
      <c r="W438" s="6" t="s">
        <v>141</v>
      </c>
      <c r="X438" s="88">
        <v>228</v>
      </c>
      <c r="Y438" s="5" t="s">
        <v>2038</v>
      </c>
    </row>
    <row r="439" spans="1:27" ht="94.5" x14ac:dyDescent="0.25">
      <c r="A439" s="71" t="s">
        <v>2011</v>
      </c>
      <c r="B439" s="28" t="s">
        <v>360</v>
      </c>
      <c r="C439" s="5" t="s">
        <v>1413</v>
      </c>
      <c r="D439" s="4" t="s">
        <v>2034</v>
      </c>
      <c r="E439" s="5" t="s">
        <v>2035</v>
      </c>
      <c r="F439" s="4" t="s">
        <v>2036</v>
      </c>
      <c r="G439" s="6"/>
      <c r="H439" s="35" t="s">
        <v>2037</v>
      </c>
      <c r="I439" s="35"/>
      <c r="J439" s="35"/>
      <c r="K439" s="9">
        <v>5</v>
      </c>
      <c r="L439" s="10">
        <v>5.5</v>
      </c>
      <c r="M439" s="6" t="s">
        <v>2039</v>
      </c>
      <c r="N439" s="6"/>
      <c r="O439" s="5" t="s">
        <v>1974</v>
      </c>
      <c r="P439" s="6"/>
      <c r="Q439" s="12" t="s">
        <v>141</v>
      </c>
      <c r="R439" s="6" t="s">
        <v>141</v>
      </c>
      <c r="S439" s="9">
        <f t="shared" si="190"/>
        <v>3</v>
      </c>
      <c r="T439" s="12" t="s">
        <v>475</v>
      </c>
      <c r="U439" s="6" t="s">
        <v>2040</v>
      </c>
      <c r="V439" s="96">
        <v>0</v>
      </c>
      <c r="W439" s="6" t="s">
        <v>141</v>
      </c>
      <c r="X439" s="88">
        <f>211+138+220</f>
        <v>569</v>
      </c>
      <c r="Y439" s="5" t="s">
        <v>2039</v>
      </c>
    </row>
    <row r="440" spans="1:27" ht="94.5" x14ac:dyDescent="0.25">
      <c r="A440" s="71" t="s">
        <v>2012</v>
      </c>
      <c r="B440" s="28" t="s">
        <v>360</v>
      </c>
      <c r="C440" s="5" t="s">
        <v>1413</v>
      </c>
      <c r="D440" s="4" t="s">
        <v>2044</v>
      </c>
      <c r="E440" s="5" t="s">
        <v>2043</v>
      </c>
      <c r="F440" s="4" t="s">
        <v>2055</v>
      </c>
      <c r="G440" s="6"/>
      <c r="H440" s="35" t="s">
        <v>2042</v>
      </c>
      <c r="I440" s="35"/>
      <c r="J440" s="35"/>
      <c r="K440" s="9">
        <v>3</v>
      </c>
      <c r="L440" s="10">
        <v>3.3</v>
      </c>
      <c r="M440" s="6" t="s">
        <v>2039</v>
      </c>
      <c r="N440" s="6"/>
      <c r="O440" s="5" t="s">
        <v>1974</v>
      </c>
      <c r="P440" s="6"/>
      <c r="Q440" s="12" t="s">
        <v>141</v>
      </c>
      <c r="R440" s="6" t="s">
        <v>141</v>
      </c>
      <c r="S440" s="9">
        <f t="shared" si="190"/>
        <v>2</v>
      </c>
      <c r="T440" s="12" t="s">
        <v>1900</v>
      </c>
      <c r="U440" s="6" t="s">
        <v>2041</v>
      </c>
      <c r="V440" s="96">
        <v>0</v>
      </c>
      <c r="W440" s="6" t="s">
        <v>141</v>
      </c>
      <c r="X440" s="88">
        <f>208+131</f>
        <v>339</v>
      </c>
      <c r="Y440" s="5" t="s">
        <v>2039</v>
      </c>
    </row>
    <row r="441" spans="1:27" ht="94.5" x14ac:dyDescent="0.25">
      <c r="A441" s="71" t="s">
        <v>2013</v>
      </c>
      <c r="B441" s="28" t="s">
        <v>360</v>
      </c>
      <c r="C441" s="5" t="s">
        <v>1413</v>
      </c>
      <c r="D441" s="4" t="s">
        <v>2046</v>
      </c>
      <c r="E441" s="5" t="s">
        <v>2045</v>
      </c>
      <c r="F441" s="4" t="s">
        <v>2036</v>
      </c>
      <c r="G441" s="6"/>
      <c r="H441" s="35" t="s">
        <v>2037</v>
      </c>
      <c r="I441" s="35"/>
      <c r="J441" s="35"/>
      <c r="K441" s="9">
        <v>5</v>
      </c>
      <c r="L441" s="10">
        <v>5.5</v>
      </c>
      <c r="M441" s="6" t="s">
        <v>2047</v>
      </c>
      <c r="N441" s="6"/>
      <c r="O441" s="5" t="s">
        <v>1974</v>
      </c>
      <c r="P441" s="6"/>
      <c r="Q441" s="12" t="s">
        <v>141</v>
      </c>
      <c r="R441" s="6" t="s">
        <v>141</v>
      </c>
      <c r="S441" s="9">
        <f t="shared" si="190"/>
        <v>3</v>
      </c>
      <c r="T441" s="12" t="s">
        <v>475</v>
      </c>
      <c r="U441" s="6" t="s">
        <v>149</v>
      </c>
      <c r="V441" s="96">
        <v>0</v>
      </c>
      <c r="W441" s="6" t="s">
        <v>141</v>
      </c>
      <c r="X441" s="88">
        <f>172+229+213</f>
        <v>614</v>
      </c>
      <c r="Y441" s="5" t="s">
        <v>2047</v>
      </c>
    </row>
    <row r="442" spans="1:27" ht="94.5" x14ac:dyDescent="0.25">
      <c r="A442" s="71" t="s">
        <v>2014</v>
      </c>
      <c r="B442" s="28" t="s">
        <v>360</v>
      </c>
      <c r="C442" s="5" t="s">
        <v>1413</v>
      </c>
      <c r="D442" s="4" t="s">
        <v>2049</v>
      </c>
      <c r="E442" s="5" t="s">
        <v>2052</v>
      </c>
      <c r="F442" s="4" t="s">
        <v>2055</v>
      </c>
      <c r="G442" s="6"/>
      <c r="H442" s="35" t="s">
        <v>2056</v>
      </c>
      <c r="I442" s="35"/>
      <c r="J442" s="35"/>
      <c r="K442" s="9">
        <v>4</v>
      </c>
      <c r="L442" s="10">
        <v>4.4000000000000004</v>
      </c>
      <c r="M442" s="6" t="s">
        <v>2062</v>
      </c>
      <c r="N442" s="6"/>
      <c r="O442" s="5" t="s">
        <v>1974</v>
      </c>
      <c r="P442" s="6"/>
      <c r="Q442" s="12" t="s">
        <v>141</v>
      </c>
      <c r="R442" s="6" t="s">
        <v>141</v>
      </c>
      <c r="S442" s="9">
        <f t="shared" si="190"/>
        <v>4</v>
      </c>
      <c r="T442" s="12" t="s">
        <v>1705</v>
      </c>
      <c r="U442" s="6" t="s">
        <v>2059</v>
      </c>
      <c r="V442" s="96">
        <v>0</v>
      </c>
      <c r="W442" s="6" t="s">
        <v>141</v>
      </c>
      <c r="X442" s="88">
        <f>66+133+144+83</f>
        <v>426</v>
      </c>
      <c r="Y442" s="5" t="s">
        <v>2062</v>
      </c>
    </row>
    <row r="443" spans="1:27" ht="94.5" x14ac:dyDescent="0.25">
      <c r="A443" s="71" t="s">
        <v>2015</v>
      </c>
      <c r="B443" s="28" t="s">
        <v>360</v>
      </c>
      <c r="C443" s="5" t="s">
        <v>1413</v>
      </c>
      <c r="D443" s="4" t="s">
        <v>2050</v>
      </c>
      <c r="E443" s="5" t="s">
        <v>2054</v>
      </c>
      <c r="F443" s="4" t="s">
        <v>2057</v>
      </c>
      <c r="G443" s="6"/>
      <c r="H443" s="35" t="s">
        <v>2058</v>
      </c>
      <c r="I443" s="35"/>
      <c r="J443" s="35"/>
      <c r="K443" s="9">
        <v>5</v>
      </c>
      <c r="L443" s="10">
        <v>5.5</v>
      </c>
      <c r="M443" s="6" t="s">
        <v>2063</v>
      </c>
      <c r="N443" s="6"/>
      <c r="O443" s="5" t="s">
        <v>1974</v>
      </c>
      <c r="P443" s="6"/>
      <c r="Q443" s="12" t="s">
        <v>141</v>
      </c>
      <c r="R443" s="6" t="s">
        <v>141</v>
      </c>
      <c r="S443" s="9">
        <f t="shared" si="190"/>
        <v>4</v>
      </c>
      <c r="T443" s="12" t="s">
        <v>1705</v>
      </c>
      <c r="U443" s="6" t="s">
        <v>2061</v>
      </c>
      <c r="V443" s="96">
        <v>0</v>
      </c>
      <c r="W443" s="6" t="s">
        <v>141</v>
      </c>
      <c r="X443" s="88">
        <f>159+125+212+173</f>
        <v>669</v>
      </c>
      <c r="Y443" s="5" t="s">
        <v>2063</v>
      </c>
    </row>
    <row r="444" spans="1:27" ht="94.5" x14ac:dyDescent="0.25">
      <c r="A444" s="71" t="s">
        <v>2016</v>
      </c>
      <c r="B444" s="28" t="s">
        <v>360</v>
      </c>
      <c r="C444" s="5" t="s">
        <v>1413</v>
      </c>
      <c r="D444" s="4" t="s">
        <v>2051</v>
      </c>
      <c r="E444" s="5" t="s">
        <v>2053</v>
      </c>
      <c r="F444" s="4" t="s">
        <v>2057</v>
      </c>
      <c r="G444" s="6"/>
      <c r="H444" s="35" t="s">
        <v>2058</v>
      </c>
      <c r="I444" s="35"/>
      <c r="J444" s="35"/>
      <c r="K444" s="9">
        <v>4</v>
      </c>
      <c r="L444" s="10">
        <v>4.4000000000000004</v>
      </c>
      <c r="M444" s="6" t="s">
        <v>2063</v>
      </c>
      <c r="N444" s="6"/>
      <c r="O444" s="5" t="s">
        <v>1974</v>
      </c>
      <c r="P444" s="6"/>
      <c r="Q444" s="12" t="s">
        <v>141</v>
      </c>
      <c r="R444" s="6" t="s">
        <v>141</v>
      </c>
      <c r="S444" s="9">
        <f t="shared" si="190"/>
        <v>4</v>
      </c>
      <c r="T444" s="12" t="s">
        <v>1705</v>
      </c>
      <c r="U444" s="6" t="s">
        <v>2060</v>
      </c>
      <c r="V444" s="96">
        <v>0</v>
      </c>
      <c r="W444" s="6" t="s">
        <v>141</v>
      </c>
      <c r="X444" s="88">
        <f>103+212+83+108</f>
        <v>506</v>
      </c>
      <c r="Y444" s="5" t="s">
        <v>2063</v>
      </c>
    </row>
    <row r="445" spans="1:27" ht="94.5" x14ac:dyDescent="0.25">
      <c r="A445" s="71" t="s">
        <v>2017</v>
      </c>
      <c r="B445" s="28" t="s">
        <v>360</v>
      </c>
      <c r="C445" s="5" t="s">
        <v>1413</v>
      </c>
      <c r="D445" s="4" t="s">
        <v>2064</v>
      </c>
      <c r="E445" s="5" t="s">
        <v>2065</v>
      </c>
      <c r="F445" s="4" t="s">
        <v>2031</v>
      </c>
      <c r="G445" s="6"/>
      <c r="H445" s="35" t="s">
        <v>2032</v>
      </c>
      <c r="I445" s="35"/>
      <c r="J445" s="35"/>
      <c r="K445" s="9">
        <v>2</v>
      </c>
      <c r="L445" s="10">
        <v>2.2000000000000002</v>
      </c>
      <c r="M445" s="6" t="s">
        <v>494</v>
      </c>
      <c r="N445" s="6"/>
      <c r="O445" s="5" t="s">
        <v>1974</v>
      </c>
      <c r="P445" s="6"/>
      <c r="Q445" s="12" t="s">
        <v>141</v>
      </c>
      <c r="R445" s="6" t="s">
        <v>141</v>
      </c>
      <c r="S445" s="9">
        <f t="shared" si="190"/>
        <v>14</v>
      </c>
      <c r="T445" s="12" t="s">
        <v>197</v>
      </c>
      <c r="U445" s="6" t="s">
        <v>141</v>
      </c>
      <c r="V445" s="96">
        <v>14</v>
      </c>
      <c r="W445" s="6" t="s">
        <v>2098</v>
      </c>
      <c r="X445" s="88">
        <v>42</v>
      </c>
      <c r="Y445" s="5" t="s">
        <v>714</v>
      </c>
    </row>
    <row r="446" spans="1:27" ht="94.5" x14ac:dyDescent="0.25">
      <c r="A446" s="71" t="s">
        <v>2018</v>
      </c>
      <c r="B446" s="28" t="s">
        <v>360</v>
      </c>
      <c r="C446" s="5" t="s">
        <v>1413</v>
      </c>
      <c r="D446" s="4" t="s">
        <v>2099</v>
      </c>
      <c r="E446" s="5" t="s">
        <v>2100</v>
      </c>
      <c r="F446" s="4" t="s">
        <v>2057</v>
      </c>
      <c r="G446" s="6"/>
      <c r="H446" s="35" t="s">
        <v>2058</v>
      </c>
      <c r="I446" s="35"/>
      <c r="J446" s="35"/>
      <c r="K446" s="9">
        <v>4</v>
      </c>
      <c r="L446" s="10">
        <v>4.4000000000000004</v>
      </c>
      <c r="M446" s="6" t="s">
        <v>2105</v>
      </c>
      <c r="N446" s="6"/>
      <c r="O446" s="5" t="s">
        <v>1974</v>
      </c>
      <c r="P446" s="6"/>
      <c r="Q446" s="12" t="s">
        <v>141</v>
      </c>
      <c r="R446" s="6" t="s">
        <v>141</v>
      </c>
      <c r="S446" s="9">
        <f t="shared" si="190"/>
        <v>3</v>
      </c>
      <c r="T446" s="12" t="s">
        <v>475</v>
      </c>
      <c r="U446" s="6" t="s">
        <v>2108</v>
      </c>
      <c r="V446" s="96">
        <v>0</v>
      </c>
      <c r="W446" s="6" t="s">
        <v>141</v>
      </c>
      <c r="Y446" s="6" t="str">
        <f>M446</f>
        <v>Общество с ограниченной ответственностью Управляющая компания "Классик-А", ОГРН 1145958003531, Пермский край, г. Пермь, ул. Кировоградская, д. 65А</v>
      </c>
    </row>
    <row r="447" spans="1:27" ht="94.5" x14ac:dyDescent="0.25">
      <c r="A447" s="71" t="s">
        <v>2019</v>
      </c>
      <c r="B447" s="28" t="s">
        <v>360</v>
      </c>
      <c r="C447" s="5" t="s">
        <v>1413</v>
      </c>
      <c r="D447" s="4" t="s">
        <v>2101</v>
      </c>
      <c r="E447" s="5" t="s">
        <v>2102</v>
      </c>
      <c r="F447" s="4" t="s">
        <v>2057</v>
      </c>
      <c r="G447" s="6"/>
      <c r="H447" s="35" t="s">
        <v>2058</v>
      </c>
      <c r="I447" s="35"/>
      <c r="J447" s="35"/>
      <c r="K447" s="9">
        <v>4</v>
      </c>
      <c r="L447" s="10">
        <v>4.4000000000000004</v>
      </c>
      <c r="M447" s="6" t="s">
        <v>2106</v>
      </c>
      <c r="N447" s="6"/>
      <c r="O447" s="5" t="s">
        <v>1974</v>
      </c>
      <c r="P447" s="6"/>
      <c r="Q447" s="12" t="s">
        <v>141</v>
      </c>
      <c r="R447" s="6" t="s">
        <v>141</v>
      </c>
      <c r="S447" s="9">
        <f t="shared" si="190"/>
        <v>3</v>
      </c>
      <c r="T447" s="12" t="s">
        <v>475</v>
      </c>
      <c r="U447" s="6" t="s">
        <v>2109</v>
      </c>
      <c r="V447" s="96">
        <v>0</v>
      </c>
      <c r="W447" s="6" t="s">
        <v>141</v>
      </c>
      <c r="Y447" s="6" t="str">
        <f t="shared" ref="Y447:Y448" si="191">M447</f>
        <v>Товарищество собственников жилья "Берег", ОГРН 1075900000252, Пермский край, г. Краснокамск, ул. Школьная, д. 22</v>
      </c>
    </row>
    <row r="448" spans="1:27" ht="94.5" x14ac:dyDescent="0.25">
      <c r="A448" s="71" t="s">
        <v>2020</v>
      </c>
      <c r="B448" s="28" t="s">
        <v>360</v>
      </c>
      <c r="C448" s="5" t="s">
        <v>1413</v>
      </c>
      <c r="D448" s="4" t="s">
        <v>2103</v>
      </c>
      <c r="E448" s="5" t="s">
        <v>2104</v>
      </c>
      <c r="F448" s="4" t="s">
        <v>2057</v>
      </c>
      <c r="G448" s="6"/>
      <c r="H448" s="35" t="s">
        <v>2058</v>
      </c>
      <c r="I448" s="35"/>
      <c r="J448" s="35"/>
      <c r="K448" s="9">
        <v>4</v>
      </c>
      <c r="L448" s="10">
        <v>4.4000000000000004</v>
      </c>
      <c r="M448" s="6" t="s">
        <v>2107</v>
      </c>
      <c r="N448" s="6"/>
      <c r="O448" s="5" t="s">
        <v>1974</v>
      </c>
      <c r="P448" s="6"/>
      <c r="Q448" s="12" t="s">
        <v>141</v>
      </c>
      <c r="R448" s="6" t="s">
        <v>141</v>
      </c>
      <c r="S448" s="9">
        <f t="shared" si="190"/>
        <v>3</v>
      </c>
      <c r="T448" s="12" t="s">
        <v>475</v>
      </c>
      <c r="U448" s="6" t="s">
        <v>2110</v>
      </c>
      <c r="V448" s="96">
        <v>0</v>
      </c>
      <c r="W448" s="6" t="s">
        <v>141</v>
      </c>
      <c r="Y448" s="6" t="str">
        <f t="shared" si="191"/>
        <v>Общество с ограниченной ответственностью "Уралкомп", ОГРН 1135916000472, Пермский край, г. Краснокамск, ул. Комарова, д.5</v>
      </c>
    </row>
    <row r="449" spans="1:26" ht="94.5" x14ac:dyDescent="0.25">
      <c r="A449" s="71" t="s">
        <v>2021</v>
      </c>
      <c r="B449" s="28" t="s">
        <v>357</v>
      </c>
      <c r="C449" s="5" t="s">
        <v>1413</v>
      </c>
      <c r="D449" s="4" t="s">
        <v>2132</v>
      </c>
      <c r="E449" s="5" t="s">
        <v>119</v>
      </c>
      <c r="F449" s="4" t="s">
        <v>1404</v>
      </c>
      <c r="G449" s="6"/>
      <c r="H449" s="35"/>
      <c r="I449" s="35"/>
      <c r="J449" s="35"/>
      <c r="K449" s="9">
        <v>2</v>
      </c>
      <c r="L449" s="10">
        <v>2.2000000000000002</v>
      </c>
      <c r="M449" s="6" t="s">
        <v>494</v>
      </c>
      <c r="N449" s="6"/>
      <c r="O449" s="5" t="s">
        <v>1974</v>
      </c>
      <c r="P449" s="6"/>
      <c r="Q449" s="12"/>
      <c r="R449" s="6"/>
      <c r="S449" s="9">
        <f t="shared" si="190"/>
        <v>17</v>
      </c>
      <c r="T449" s="12" t="s">
        <v>197</v>
      </c>
      <c r="U449" s="6" t="s">
        <v>141</v>
      </c>
      <c r="V449" s="96">
        <v>17</v>
      </c>
      <c r="W449" s="6" t="s">
        <v>2131</v>
      </c>
      <c r="Y449" s="5" t="s">
        <v>2133</v>
      </c>
    </row>
    <row r="450" spans="1:26" ht="110.25" x14ac:dyDescent="0.25">
      <c r="A450" s="71" t="s">
        <v>2022</v>
      </c>
      <c r="B450" s="28" t="s">
        <v>365</v>
      </c>
      <c r="C450" s="5" t="s">
        <v>1413</v>
      </c>
      <c r="D450" s="4" t="s">
        <v>2135</v>
      </c>
      <c r="E450" s="5" t="s">
        <v>119</v>
      </c>
      <c r="F450" s="4" t="s">
        <v>1404</v>
      </c>
      <c r="G450" s="6"/>
      <c r="H450" s="35"/>
      <c r="I450" s="35"/>
      <c r="J450" s="35"/>
      <c r="K450" s="9">
        <v>2</v>
      </c>
      <c r="L450" s="10">
        <v>2.2000000000000002</v>
      </c>
      <c r="M450" s="6" t="s">
        <v>494</v>
      </c>
      <c r="N450" s="6" t="s">
        <v>494</v>
      </c>
      <c r="O450" s="5" t="s">
        <v>1974</v>
      </c>
      <c r="P450" s="6"/>
      <c r="Q450" s="12"/>
      <c r="R450" s="6"/>
      <c r="S450" s="9">
        <f t="shared" si="190"/>
        <v>20</v>
      </c>
      <c r="T450" s="12" t="s">
        <v>197</v>
      </c>
      <c r="U450" s="6" t="s">
        <v>141</v>
      </c>
      <c r="V450" s="96">
        <v>20</v>
      </c>
      <c r="W450" s="6" t="s">
        <v>1304</v>
      </c>
      <c r="X450" s="88">
        <v>24</v>
      </c>
      <c r="Y450" s="5"/>
      <c r="Z450" s="45" t="s">
        <v>425</v>
      </c>
    </row>
  </sheetData>
  <sheetProtection password="C439" sheet="1" objects="1" scenarios="1" autoFilter="0"/>
  <autoFilter ref="A6:Z450"/>
  <mergeCells count="29">
    <mergeCell ref="AK3:AK5"/>
    <mergeCell ref="A1:W1"/>
    <mergeCell ref="A7:W7"/>
    <mergeCell ref="F3:L4"/>
    <mergeCell ref="A2:X2"/>
    <mergeCell ref="A3:A5"/>
    <mergeCell ref="D3:D5"/>
    <mergeCell ref="E3:E5"/>
    <mergeCell ref="AF3:AF5"/>
    <mergeCell ref="AG3:AG5"/>
    <mergeCell ref="AI3:AI5"/>
    <mergeCell ref="AH3:AH5"/>
    <mergeCell ref="Y3:Y5"/>
    <mergeCell ref="N3:N5"/>
    <mergeCell ref="A283:W283"/>
    <mergeCell ref="AA64:AE64"/>
    <mergeCell ref="Z3:Z5"/>
    <mergeCell ref="X3:X5"/>
    <mergeCell ref="P3:P5"/>
    <mergeCell ref="Q4:Q5"/>
    <mergeCell ref="Q3:W3"/>
    <mergeCell ref="S4:W4"/>
    <mergeCell ref="R4:R5"/>
    <mergeCell ref="AA38:AE38"/>
    <mergeCell ref="M3:M5"/>
    <mergeCell ref="O3:O5"/>
    <mergeCell ref="B3:B5"/>
    <mergeCell ref="A146:W146"/>
    <mergeCell ref="C3:C5"/>
  </mergeCells>
  <pageMargins left="0.59055118110236227" right="0.19685039370078741" top="0.74803149606299213" bottom="0.19685039370078741" header="0" footer="0"/>
  <pageSetup paperSize="9" scale="32" fitToHeight="31" orientation="landscape" r:id="rId1"/>
  <headerFooter alignWithMargins="0">
    <oddFooter>&amp;C&amp;"Times New Roman1,Regular"&amp;12&amp;P</oddFooter>
  </headerFooter>
  <ignoredErrors>
    <ignoredError sqref="G16:G17 G24:G25 G36:G37 G39:G40 G44:G45 G49:G50 G52:G56 G63 G65 G71:G72 G74:G76 P44:P45 P49:P53 Q8 G20:G21 P21 Y6 G32:G33 G60:G61 Q47 Q167:V169 S170:V171 Q170:Q171 Q157:Q158 Q162:Q163 P17 P36:P37 P65 P59:P60 P67 Q174 Q182:Q194 P39 P55:P56 Q236:Q237 P147:Q147 P30:P31 P73:P75 Q68:Q83 Q86 V316:V319 S6:W6 D6 K6 M6 V307:V310 T307:T310 P10 T140 V140 T135:V135 G68:G69 P24 Q49:Q56 Q58:Q61 Q63:Q66 V313:V314 T313:T319 T321:T324 T330:T333 V330:V332 T311:V311 V321:V324 P71 T385:V385 V386:V388 Q389 U391:U392 V390:V393 U393 U394 T400:T403 T386:T397 T399 T407:T408 T409:T414 T404:T406 T415:T421 Q421 T422:T423 T438:T441 T442:T444 T445:T446 T449 T447:T448 T326 V3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0"/>
  <sheetViews>
    <sheetView zoomScale="85" zoomScaleNormal="85" workbookViewId="0">
      <selection activeCell="I27" sqref="I27"/>
    </sheetView>
  </sheetViews>
  <sheetFormatPr defaultRowHeight="15" x14ac:dyDescent="0.25"/>
  <cols>
    <col min="1" max="1" width="20.140625" customWidth="1"/>
    <col min="2" max="2" width="7.5703125" style="14" customWidth="1"/>
    <col min="3" max="4" width="11.28515625" style="14" customWidth="1"/>
  </cols>
  <sheetData>
    <row r="2" spans="1:8" ht="29.25" customHeight="1" x14ac:dyDescent="0.25">
      <c r="B2" s="165" t="s">
        <v>1725</v>
      </c>
      <c r="C2" s="164" t="s">
        <v>1722</v>
      </c>
      <c r="D2" s="164"/>
    </row>
    <row r="3" spans="1:8" s="15" customFormat="1" x14ac:dyDescent="0.25">
      <c r="B3" s="166"/>
      <c r="C3" s="15" t="s">
        <v>1723</v>
      </c>
      <c r="D3" s="15" t="s">
        <v>1724</v>
      </c>
    </row>
    <row r="4" spans="1:8" x14ac:dyDescent="0.25">
      <c r="A4" s="16" t="s">
        <v>1721</v>
      </c>
      <c r="B4" s="17">
        <v>3</v>
      </c>
      <c r="C4" s="17">
        <v>1</v>
      </c>
      <c r="D4" s="21">
        <f>C4</f>
        <v>1</v>
      </c>
    </row>
    <row r="5" spans="1:8" x14ac:dyDescent="0.25">
      <c r="A5" s="16"/>
      <c r="B5" s="17">
        <v>5</v>
      </c>
      <c r="C5" s="17">
        <v>2</v>
      </c>
      <c r="D5" s="21">
        <f t="shared" ref="D5:D24" si="0">C5</f>
        <v>2</v>
      </c>
    </row>
    <row r="6" spans="1:8" x14ac:dyDescent="0.25">
      <c r="A6" s="16"/>
      <c r="B6" s="17">
        <v>7</v>
      </c>
      <c r="C6" s="17">
        <v>6</v>
      </c>
      <c r="D6" s="22">
        <f t="shared" si="0"/>
        <v>6</v>
      </c>
    </row>
    <row r="7" spans="1:8" x14ac:dyDescent="0.25">
      <c r="A7" s="16" t="s">
        <v>1726</v>
      </c>
      <c r="B7" s="17">
        <v>3</v>
      </c>
      <c r="C7" s="17">
        <v>3</v>
      </c>
      <c r="D7" s="21">
        <f t="shared" si="0"/>
        <v>3</v>
      </c>
      <c r="F7" s="18"/>
    </row>
    <row r="8" spans="1:8" x14ac:dyDescent="0.25">
      <c r="A8" s="16"/>
      <c r="B8" s="17">
        <v>4</v>
      </c>
      <c r="C8" s="17">
        <v>3</v>
      </c>
      <c r="D8" s="21">
        <f t="shared" si="0"/>
        <v>3</v>
      </c>
      <c r="F8" s="18"/>
    </row>
    <row r="9" spans="1:8" x14ac:dyDescent="0.25">
      <c r="A9" s="16"/>
      <c r="B9" s="17">
        <v>5</v>
      </c>
      <c r="C9" s="17">
        <v>5</v>
      </c>
      <c r="D9" s="21">
        <f t="shared" si="0"/>
        <v>5</v>
      </c>
      <c r="F9" s="18"/>
    </row>
    <row r="10" spans="1:8" x14ac:dyDescent="0.25">
      <c r="A10" s="16"/>
      <c r="B10" s="17">
        <v>6</v>
      </c>
      <c r="C10" s="17">
        <v>6</v>
      </c>
      <c r="D10" s="21">
        <f t="shared" si="0"/>
        <v>6</v>
      </c>
      <c r="F10" s="18"/>
    </row>
    <row r="11" spans="1:8" x14ac:dyDescent="0.25">
      <c r="A11" s="16"/>
      <c r="B11" s="17">
        <v>7</v>
      </c>
      <c r="C11" s="17">
        <v>3</v>
      </c>
      <c r="D11" s="22">
        <f t="shared" si="0"/>
        <v>3</v>
      </c>
      <c r="F11" s="18"/>
    </row>
    <row r="12" spans="1:8" x14ac:dyDescent="0.25">
      <c r="A12" s="16"/>
      <c r="B12" s="17">
        <v>8</v>
      </c>
      <c r="C12" s="17">
        <v>3</v>
      </c>
      <c r="D12" s="22">
        <f t="shared" si="0"/>
        <v>3</v>
      </c>
      <c r="F12" s="18"/>
    </row>
    <row r="13" spans="1:8" x14ac:dyDescent="0.25">
      <c r="A13" s="16" t="s">
        <v>1728</v>
      </c>
      <c r="B13" s="17">
        <v>4</v>
      </c>
      <c r="C13" s="17">
        <v>2</v>
      </c>
      <c r="D13" s="21">
        <f t="shared" si="0"/>
        <v>2</v>
      </c>
      <c r="F13" s="19"/>
      <c r="G13" s="19"/>
      <c r="H13" s="19"/>
    </row>
    <row r="14" spans="1:8" x14ac:dyDescent="0.25">
      <c r="A14" s="16"/>
      <c r="B14" s="17">
        <v>6</v>
      </c>
      <c r="C14" s="17">
        <v>2</v>
      </c>
      <c r="D14" s="21">
        <f t="shared" si="0"/>
        <v>2</v>
      </c>
      <c r="F14" s="19"/>
      <c r="G14" s="19"/>
      <c r="H14" s="19"/>
    </row>
    <row r="15" spans="1:8" x14ac:dyDescent="0.25">
      <c r="A15" s="16"/>
      <c r="B15" s="17">
        <v>7</v>
      </c>
      <c r="C15" s="17">
        <v>5</v>
      </c>
      <c r="D15" s="22">
        <f t="shared" si="0"/>
        <v>5</v>
      </c>
      <c r="F15" s="19"/>
      <c r="G15" s="19"/>
      <c r="H15" s="19"/>
    </row>
    <row r="16" spans="1:8" x14ac:dyDescent="0.25">
      <c r="A16" s="16"/>
      <c r="B16" s="17">
        <v>8</v>
      </c>
      <c r="C16" s="17">
        <v>2</v>
      </c>
      <c r="D16" s="22">
        <f t="shared" si="0"/>
        <v>2</v>
      </c>
      <c r="F16" s="19"/>
      <c r="G16" s="19"/>
      <c r="H16" s="19"/>
    </row>
    <row r="17" spans="1:8" x14ac:dyDescent="0.25">
      <c r="A17" s="16"/>
      <c r="B17" s="17">
        <v>10</v>
      </c>
      <c r="C17" s="17">
        <v>2</v>
      </c>
      <c r="D17" s="22">
        <f t="shared" si="0"/>
        <v>2</v>
      </c>
      <c r="F17" s="19"/>
      <c r="G17" s="19"/>
      <c r="H17" s="19"/>
    </row>
    <row r="18" spans="1:8" x14ac:dyDescent="0.25">
      <c r="A18" s="16" t="s">
        <v>1727</v>
      </c>
      <c r="B18" s="17">
        <v>11</v>
      </c>
      <c r="C18" s="17">
        <v>2</v>
      </c>
      <c r="D18" s="21">
        <f t="shared" si="0"/>
        <v>2</v>
      </c>
      <c r="F18" s="19"/>
      <c r="G18" s="19"/>
      <c r="H18" s="19"/>
    </row>
    <row r="19" spans="1:8" x14ac:dyDescent="0.25">
      <c r="A19" s="16"/>
      <c r="B19" s="17">
        <v>13</v>
      </c>
      <c r="C19" s="17">
        <v>5</v>
      </c>
      <c r="D19" s="21">
        <f t="shared" si="0"/>
        <v>5</v>
      </c>
      <c r="F19" s="19"/>
      <c r="G19" s="19"/>
      <c r="H19" s="19"/>
    </row>
    <row r="20" spans="1:8" x14ac:dyDescent="0.25">
      <c r="A20" s="16"/>
      <c r="B20" s="17">
        <v>15</v>
      </c>
      <c r="C20" s="17">
        <v>5</v>
      </c>
      <c r="D20" s="21">
        <f t="shared" si="0"/>
        <v>5</v>
      </c>
    </row>
    <row r="21" spans="1:8" x14ac:dyDescent="0.25">
      <c r="A21" s="16"/>
      <c r="B21" s="17">
        <v>17</v>
      </c>
      <c r="C21" s="17">
        <v>1</v>
      </c>
      <c r="D21" s="21">
        <f t="shared" si="0"/>
        <v>1</v>
      </c>
    </row>
    <row r="22" spans="1:8" x14ac:dyDescent="0.25">
      <c r="A22" s="16"/>
      <c r="B22" s="17">
        <v>19</v>
      </c>
      <c r="C22" s="17">
        <v>1</v>
      </c>
      <c r="D22" s="21">
        <f t="shared" si="0"/>
        <v>1</v>
      </c>
    </row>
    <row r="23" spans="1:8" x14ac:dyDescent="0.25">
      <c r="A23" s="16"/>
      <c r="B23" s="17">
        <v>21</v>
      </c>
      <c r="C23" s="17">
        <v>4</v>
      </c>
      <c r="D23" s="21">
        <f t="shared" si="0"/>
        <v>4</v>
      </c>
    </row>
    <row r="24" spans="1:8" x14ac:dyDescent="0.25">
      <c r="A24" s="16"/>
      <c r="B24" s="17" t="s">
        <v>1729</v>
      </c>
      <c r="C24" s="17">
        <v>3</v>
      </c>
      <c r="D24" s="25">
        <f t="shared" si="0"/>
        <v>3</v>
      </c>
    </row>
    <row r="25" spans="1:8" x14ac:dyDescent="0.25">
      <c r="A25" s="16" t="s">
        <v>1730</v>
      </c>
      <c r="B25" s="17">
        <v>1</v>
      </c>
      <c r="C25" s="17">
        <v>6</v>
      </c>
      <c r="D25" s="25">
        <v>6</v>
      </c>
    </row>
    <row r="26" spans="1:8" x14ac:dyDescent="0.25">
      <c r="A26" s="16"/>
      <c r="B26" s="17">
        <v>2</v>
      </c>
      <c r="C26" s="17">
        <v>0</v>
      </c>
      <c r="D26" s="25">
        <v>5</v>
      </c>
    </row>
    <row r="27" spans="1:8" x14ac:dyDescent="0.25">
      <c r="A27" s="16"/>
      <c r="B27" s="17">
        <v>3</v>
      </c>
      <c r="C27" s="17">
        <v>2</v>
      </c>
      <c r="D27" s="25">
        <v>2</v>
      </c>
    </row>
    <row r="28" spans="1:8" x14ac:dyDescent="0.25">
      <c r="A28" s="16"/>
      <c r="B28" s="17">
        <v>4</v>
      </c>
      <c r="C28" s="17">
        <v>1</v>
      </c>
      <c r="D28" s="25">
        <v>1</v>
      </c>
    </row>
    <row r="29" spans="1:8" x14ac:dyDescent="0.25">
      <c r="A29" s="16" t="s">
        <v>1731</v>
      </c>
      <c r="B29" s="17">
        <v>2</v>
      </c>
      <c r="C29" s="17">
        <v>5</v>
      </c>
      <c r="D29" s="25">
        <v>5</v>
      </c>
    </row>
    <row r="30" spans="1:8" x14ac:dyDescent="0.25">
      <c r="A30" s="16"/>
      <c r="B30" s="17">
        <v>3</v>
      </c>
      <c r="C30" s="17">
        <v>0</v>
      </c>
      <c r="D30" s="25">
        <v>1</v>
      </c>
    </row>
    <row r="31" spans="1:8" x14ac:dyDescent="0.25">
      <c r="A31" s="16"/>
      <c r="B31" s="17">
        <v>4</v>
      </c>
      <c r="C31" s="17">
        <v>4</v>
      </c>
      <c r="D31" s="25">
        <v>4</v>
      </c>
    </row>
    <row r="32" spans="1:8" x14ac:dyDescent="0.25">
      <c r="A32" s="16" t="s">
        <v>158</v>
      </c>
      <c r="B32" s="17">
        <v>14</v>
      </c>
      <c r="C32" s="20">
        <v>3</v>
      </c>
      <c r="D32" s="22">
        <f>C32</f>
        <v>3</v>
      </c>
      <c r="F32" s="18"/>
    </row>
    <row r="33" spans="1:6" x14ac:dyDescent="0.25">
      <c r="A33" s="16"/>
      <c r="B33" s="17" t="s">
        <v>1732</v>
      </c>
      <c r="C33" s="20">
        <v>3</v>
      </c>
      <c r="D33" s="22">
        <f t="shared" ref="D33:D59" si="1">C33</f>
        <v>3</v>
      </c>
      <c r="F33" s="18"/>
    </row>
    <row r="34" spans="1:6" x14ac:dyDescent="0.25">
      <c r="A34" s="16"/>
      <c r="B34" s="17">
        <v>16</v>
      </c>
      <c r="C34" s="20">
        <v>4</v>
      </c>
      <c r="D34" s="22">
        <f t="shared" si="1"/>
        <v>4</v>
      </c>
      <c r="F34" s="18"/>
    </row>
    <row r="35" spans="1:6" x14ac:dyDescent="0.25">
      <c r="A35" s="16"/>
      <c r="B35" s="17">
        <v>18</v>
      </c>
      <c r="C35" s="20">
        <v>3</v>
      </c>
      <c r="D35" s="22">
        <f t="shared" si="1"/>
        <v>3</v>
      </c>
      <c r="F35" s="18"/>
    </row>
    <row r="36" spans="1:6" x14ac:dyDescent="0.25">
      <c r="A36" s="16"/>
      <c r="B36" s="17" t="s">
        <v>1733</v>
      </c>
      <c r="C36" s="20">
        <v>1</v>
      </c>
      <c r="D36" s="22">
        <f t="shared" si="1"/>
        <v>1</v>
      </c>
      <c r="F36" s="18"/>
    </row>
    <row r="37" spans="1:6" x14ac:dyDescent="0.25">
      <c r="A37" s="16"/>
      <c r="B37" s="17">
        <v>19</v>
      </c>
      <c r="C37" s="20">
        <v>2</v>
      </c>
      <c r="D37" s="22">
        <f t="shared" si="1"/>
        <v>2</v>
      </c>
      <c r="F37" s="18"/>
    </row>
    <row r="38" spans="1:6" x14ac:dyDescent="0.25">
      <c r="A38" s="16"/>
      <c r="B38" s="17">
        <v>20</v>
      </c>
      <c r="C38" s="20">
        <v>3</v>
      </c>
      <c r="D38" s="22">
        <f t="shared" si="1"/>
        <v>3</v>
      </c>
      <c r="F38" s="18"/>
    </row>
    <row r="39" spans="1:6" x14ac:dyDescent="0.25">
      <c r="A39" s="16"/>
      <c r="B39" s="17">
        <v>21</v>
      </c>
      <c r="C39" s="20">
        <v>6</v>
      </c>
      <c r="D39" s="22">
        <f t="shared" si="1"/>
        <v>6</v>
      </c>
      <c r="F39" s="18"/>
    </row>
    <row r="40" spans="1:6" x14ac:dyDescent="0.25">
      <c r="A40" s="16"/>
      <c r="B40" s="17">
        <v>22</v>
      </c>
      <c r="C40" s="20">
        <v>2</v>
      </c>
      <c r="D40" s="23">
        <f t="shared" si="1"/>
        <v>2</v>
      </c>
      <c r="E40" s="24"/>
      <c r="F40" s="18"/>
    </row>
    <row r="41" spans="1:6" x14ac:dyDescent="0.25">
      <c r="A41" s="16"/>
      <c r="B41" s="17">
        <v>23</v>
      </c>
      <c r="C41" s="20">
        <v>2</v>
      </c>
      <c r="D41" s="22">
        <f t="shared" si="1"/>
        <v>2</v>
      </c>
      <c r="F41" s="18"/>
    </row>
    <row r="42" spans="1:6" x14ac:dyDescent="0.25">
      <c r="A42" s="16"/>
      <c r="B42" s="17">
        <v>24</v>
      </c>
      <c r="C42" s="20">
        <v>7</v>
      </c>
      <c r="D42" s="23">
        <f t="shared" si="1"/>
        <v>7</v>
      </c>
      <c r="F42" s="18"/>
    </row>
    <row r="43" spans="1:6" x14ac:dyDescent="0.25">
      <c r="A43" s="16"/>
      <c r="B43" s="17">
        <v>25</v>
      </c>
      <c r="C43" s="20">
        <v>2</v>
      </c>
      <c r="D43" s="22">
        <f t="shared" si="1"/>
        <v>2</v>
      </c>
      <c r="F43" s="18"/>
    </row>
    <row r="44" spans="1:6" x14ac:dyDescent="0.25">
      <c r="A44" s="16"/>
      <c r="B44" s="17">
        <v>26</v>
      </c>
      <c r="C44" s="20">
        <v>3</v>
      </c>
      <c r="D44" s="23">
        <f t="shared" si="1"/>
        <v>3</v>
      </c>
      <c r="F44" s="18"/>
    </row>
    <row r="45" spans="1:6" x14ac:dyDescent="0.25">
      <c r="A45" s="16"/>
      <c r="B45" s="17">
        <v>27</v>
      </c>
      <c r="C45" s="20">
        <v>7</v>
      </c>
      <c r="D45" s="22">
        <f t="shared" si="1"/>
        <v>7</v>
      </c>
      <c r="F45" s="18"/>
    </row>
    <row r="46" spans="1:6" x14ac:dyDescent="0.25">
      <c r="A46" s="16"/>
      <c r="B46" s="17">
        <v>29</v>
      </c>
      <c r="C46" s="20">
        <v>1</v>
      </c>
      <c r="D46" s="22">
        <f t="shared" si="1"/>
        <v>1</v>
      </c>
      <c r="F46" s="18"/>
    </row>
    <row r="47" spans="1:6" x14ac:dyDescent="0.25">
      <c r="A47" s="16"/>
      <c r="B47" s="17">
        <v>30</v>
      </c>
      <c r="C47" s="20">
        <v>6</v>
      </c>
      <c r="D47" s="23">
        <f t="shared" si="1"/>
        <v>6</v>
      </c>
      <c r="F47" s="18"/>
    </row>
    <row r="48" spans="1:6" x14ac:dyDescent="0.25">
      <c r="A48" s="16"/>
      <c r="B48" s="17">
        <v>31</v>
      </c>
      <c r="C48" s="20">
        <v>6</v>
      </c>
      <c r="D48" s="22">
        <f t="shared" si="1"/>
        <v>6</v>
      </c>
      <c r="F48" s="18"/>
    </row>
    <row r="49" spans="1:6" x14ac:dyDescent="0.25">
      <c r="A49" s="16"/>
      <c r="B49" s="17">
        <v>32</v>
      </c>
      <c r="C49" s="20">
        <v>6</v>
      </c>
      <c r="D49" s="23">
        <f t="shared" si="1"/>
        <v>6</v>
      </c>
      <c r="F49" s="18"/>
    </row>
    <row r="50" spans="1:6" x14ac:dyDescent="0.25">
      <c r="A50" s="16"/>
      <c r="B50" s="17">
        <v>33</v>
      </c>
      <c r="C50" s="20">
        <v>1</v>
      </c>
      <c r="D50" s="22">
        <f t="shared" si="1"/>
        <v>1</v>
      </c>
      <c r="F50" s="18"/>
    </row>
    <row r="51" spans="1:6" x14ac:dyDescent="0.25">
      <c r="A51" s="16"/>
      <c r="B51" s="17">
        <v>34</v>
      </c>
      <c r="C51" s="20">
        <v>9</v>
      </c>
      <c r="D51" s="23">
        <f t="shared" si="1"/>
        <v>9</v>
      </c>
      <c r="F51" s="18"/>
    </row>
    <row r="52" spans="1:6" x14ac:dyDescent="0.25">
      <c r="A52" s="16"/>
      <c r="B52" s="17">
        <v>35</v>
      </c>
      <c r="C52" s="20">
        <v>1</v>
      </c>
      <c r="D52" s="23">
        <f t="shared" si="1"/>
        <v>1</v>
      </c>
      <c r="F52" s="18"/>
    </row>
    <row r="53" spans="1:6" x14ac:dyDescent="0.25">
      <c r="A53" s="16"/>
      <c r="B53" s="17">
        <v>36</v>
      </c>
      <c r="C53" s="20">
        <v>9</v>
      </c>
      <c r="D53" s="23">
        <f t="shared" si="1"/>
        <v>9</v>
      </c>
      <c r="F53" s="18"/>
    </row>
    <row r="54" spans="1:6" x14ac:dyDescent="0.25">
      <c r="A54" s="16"/>
      <c r="B54" s="17">
        <v>37</v>
      </c>
      <c r="C54" s="20">
        <v>4</v>
      </c>
      <c r="D54" s="23">
        <f t="shared" si="1"/>
        <v>4</v>
      </c>
      <c r="F54" s="18"/>
    </row>
    <row r="55" spans="1:6" x14ac:dyDescent="0.25">
      <c r="A55" s="16"/>
      <c r="B55" s="17">
        <v>39</v>
      </c>
      <c r="C55" s="20">
        <v>2</v>
      </c>
      <c r="D55" s="23">
        <f t="shared" si="1"/>
        <v>2</v>
      </c>
      <c r="F55" s="18"/>
    </row>
    <row r="56" spans="1:6" x14ac:dyDescent="0.25">
      <c r="A56" s="16"/>
      <c r="B56" s="17">
        <v>41</v>
      </c>
      <c r="C56" s="20">
        <v>2</v>
      </c>
      <c r="D56" s="23">
        <f t="shared" si="1"/>
        <v>2</v>
      </c>
      <c r="F56" s="18"/>
    </row>
    <row r="57" spans="1:6" x14ac:dyDescent="0.25">
      <c r="A57" s="16"/>
      <c r="B57" s="17">
        <v>43</v>
      </c>
      <c r="C57" s="20">
        <v>4</v>
      </c>
      <c r="D57" s="23">
        <f t="shared" si="1"/>
        <v>4</v>
      </c>
      <c r="F57" s="18"/>
    </row>
    <row r="58" spans="1:6" x14ac:dyDescent="0.25">
      <c r="A58" s="16"/>
      <c r="B58" s="17">
        <v>45</v>
      </c>
      <c r="C58" s="20">
        <v>5</v>
      </c>
      <c r="D58" s="23">
        <f t="shared" si="1"/>
        <v>5</v>
      </c>
      <c r="F58" s="18"/>
    </row>
    <row r="59" spans="1:6" x14ac:dyDescent="0.25">
      <c r="A59" s="16"/>
      <c r="B59" s="17">
        <v>47</v>
      </c>
      <c r="C59" s="20">
        <v>5</v>
      </c>
      <c r="D59" s="23">
        <f t="shared" si="1"/>
        <v>5</v>
      </c>
      <c r="F59" s="18"/>
    </row>
    <row r="60" spans="1:6" x14ac:dyDescent="0.25">
      <c r="A60" t="s">
        <v>1734</v>
      </c>
      <c r="C60" s="14">
        <f>SUM(C4:C59)</f>
        <v>193</v>
      </c>
      <c r="D60" s="14">
        <f>SUM(D4:D59)</f>
        <v>199</v>
      </c>
    </row>
  </sheetData>
  <mergeCells count="2">
    <mergeCell ref="C2:D2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19</vt:i4>
      </vt:variant>
    </vt:vector>
  </HeadingPairs>
  <TitlesOfParts>
    <vt:vector size="21" baseType="lpstr">
      <vt:lpstr>Наименование МО</vt:lpstr>
      <vt:lpstr>Лист1</vt:lpstr>
      <vt:lpstr>'Наименование МО'!Print_Area_0_0</vt:lpstr>
      <vt:lpstr>'Наименование МО'!Print_Area_0_0_0</vt:lpstr>
      <vt:lpstr>'Наименование МО'!Print_Area_0_0_0_0</vt:lpstr>
      <vt:lpstr>'Наименование МО'!Print_Area_0_0_0_0_0</vt:lpstr>
      <vt:lpstr>'Наименование МО'!Print_Area_0_0_0_0_0_0</vt:lpstr>
      <vt:lpstr>'Наименование МО'!Print_Area_0_0_0_0_0_0_0</vt:lpstr>
      <vt:lpstr>'Наименование МО'!Print_Area_0_0_0_0_0_0_0_0</vt:lpstr>
      <vt:lpstr>'Наименование МО'!Print_Area_0_0_0_0_0_0_0_0_0</vt:lpstr>
      <vt:lpstr>'Наименование МО'!Print_Area_0_0_0_0_0_0_0_0_0_0</vt:lpstr>
      <vt:lpstr>'Наименование МО'!Print_Area_0_0_0_0_0_0_0_0_0_0_0</vt:lpstr>
      <vt:lpstr>'Наименование МО'!Print_Area_0_0_0_0_0_0_0_0_0_0_0_0</vt:lpstr>
      <vt:lpstr>'Наименование МО'!Print_Area_0_0_0_0_0_0_0_0_0_0_0_0_0</vt:lpstr>
      <vt:lpstr>'Наименование МО'!Print_Area_0_0_0_0_0_0_0_0_0_0_0_0_0_0</vt:lpstr>
      <vt:lpstr>'Наименование МО'!Print_Area_0_0_0_0_0_0_0_0_0_0_0_0_0_0_0</vt:lpstr>
      <vt:lpstr>'Наименование МО'!Print_Area_0_0_0_0_0_0_0_0_0_0_0_0_0_0_0_0</vt:lpstr>
      <vt:lpstr>'Наименование МО'!Print_Area_0_0_0_0_0_0_0_0_0_0_0_0_0_0_0_0_0</vt:lpstr>
      <vt:lpstr>'Наименование МО'!Print_Area_0_0_0_0_0_0_0_0_0_0_0_0_0_0_0_0_0_0</vt:lpstr>
      <vt:lpstr>'Наименование МО'!Заголовки_для_печати</vt:lpstr>
      <vt:lpstr>'Наименование МО'!Область_печати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Дарья Владимировна</dc:creator>
  <cp:lastModifiedBy>User</cp:lastModifiedBy>
  <cp:lastPrinted>2022-04-05T11:14:20Z</cp:lastPrinted>
  <dcterms:created xsi:type="dcterms:W3CDTF">2018-10-25T05:48:14Z</dcterms:created>
  <dcterms:modified xsi:type="dcterms:W3CDTF">2022-08-18T11:33:11Z</dcterms:modified>
</cp:coreProperties>
</file>